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ейск.на прод.д-о нас.120126" sheetId="2" r:id="rId1"/>
    <sheet name="Лист1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4" i="2" l="1"/>
  <c r="F264" i="2"/>
  <c r="F265" i="2" s="1"/>
  <c r="G265" i="2" s="1"/>
  <c r="G263" i="2"/>
  <c r="F263" i="2"/>
  <c r="G262" i="2"/>
  <c r="F262" i="2"/>
  <c r="G260" i="2"/>
  <c r="F260" i="2"/>
  <c r="F261" i="2" s="1"/>
  <c r="G261" i="2" s="1"/>
  <c r="G259" i="2"/>
  <c r="F259" i="2"/>
  <c r="G258" i="2"/>
  <c r="F258" i="2"/>
  <c r="G257" i="2"/>
  <c r="F257" i="2"/>
  <c r="G256" i="2"/>
  <c r="F256" i="2"/>
  <c r="G255" i="2"/>
  <c r="F255" i="2"/>
  <c r="G254" i="2"/>
  <c r="F254" i="2"/>
  <c r="G253" i="2"/>
  <c r="F253" i="2"/>
  <c r="G252" i="2"/>
  <c r="F252" i="2"/>
  <c r="L251" i="2"/>
  <c r="F251" i="2"/>
  <c r="G251" i="2" s="1"/>
  <c r="F250" i="2"/>
  <c r="G250" i="2" s="1"/>
  <c r="L249" i="2"/>
  <c r="G249" i="2"/>
  <c r="F249" i="2"/>
  <c r="L248" i="2"/>
  <c r="F248" i="2"/>
  <c r="G248" i="2" s="1"/>
  <c r="L247" i="2"/>
  <c r="G247" i="2"/>
  <c r="F247" i="2"/>
  <c r="L246" i="2"/>
  <c r="G246" i="2"/>
  <c r="L245" i="2"/>
  <c r="F245" i="2"/>
  <c r="G245" i="2" s="1"/>
  <c r="L244" i="2"/>
  <c r="G244" i="2"/>
  <c r="F244" i="2"/>
  <c r="L243" i="2"/>
  <c r="G243" i="2"/>
  <c r="L242" i="2"/>
  <c r="G242" i="2"/>
  <c r="L241" i="2"/>
  <c r="G241" i="2"/>
  <c r="L240" i="2"/>
  <c r="G240" i="2"/>
  <c r="L239" i="2"/>
  <c r="G239" i="2"/>
  <c r="L238" i="2"/>
  <c r="G238" i="2"/>
  <c r="L237" i="2"/>
  <c r="G237" i="2"/>
  <c r="L236" i="2"/>
  <c r="G236" i="2"/>
  <c r="L235" i="2"/>
  <c r="G235" i="2"/>
  <c r="G234" i="2"/>
  <c r="L233" i="2"/>
  <c r="G233" i="2"/>
  <c r="G232" i="2"/>
  <c r="L231" i="2"/>
  <c r="G231" i="2"/>
  <c r="L230" i="2"/>
  <c r="F230" i="2"/>
  <c r="G230" i="2" s="1"/>
  <c r="L229" i="2"/>
  <c r="G229" i="2"/>
  <c r="F229" i="2"/>
  <c r="L228" i="2"/>
  <c r="F228" i="2"/>
  <c r="G228" i="2" s="1"/>
  <c r="F227" i="2"/>
  <c r="G227" i="2" s="1"/>
  <c r="L226" i="2"/>
  <c r="G226" i="2"/>
  <c r="L225" i="2"/>
  <c r="G225" i="2"/>
  <c r="L224" i="2"/>
  <c r="G224" i="2"/>
  <c r="L223" i="2"/>
  <c r="G223" i="2"/>
  <c r="F223" i="2"/>
  <c r="L222" i="2"/>
  <c r="G222" i="2"/>
  <c r="G221" i="2"/>
  <c r="G220" i="2"/>
  <c r="L219" i="2"/>
  <c r="G219" i="2"/>
  <c r="G218" i="2"/>
  <c r="L217" i="2"/>
  <c r="G217" i="2"/>
  <c r="O216" i="2"/>
  <c r="M216" i="2"/>
  <c r="G216" i="2"/>
  <c r="F216" i="2"/>
  <c r="O215" i="2"/>
  <c r="M215" i="2"/>
  <c r="N215" i="2" s="1"/>
  <c r="F215" i="2"/>
  <c r="I216" i="2" s="1"/>
  <c r="G214" i="2"/>
  <c r="L213" i="2"/>
  <c r="G213" i="2"/>
  <c r="F213" i="2"/>
  <c r="O213" i="2" s="1"/>
  <c r="O212" i="2"/>
  <c r="N212" i="2"/>
  <c r="G212" i="2"/>
  <c r="F212" i="2"/>
  <c r="I213" i="2" s="1"/>
  <c r="F211" i="2"/>
  <c r="O211" i="2" s="1"/>
  <c r="G210" i="2"/>
  <c r="F210" i="2"/>
  <c r="O210" i="2" s="1"/>
  <c r="M209" i="2"/>
  <c r="F209" i="2"/>
  <c r="O209" i="2" s="1"/>
  <c r="N208" i="2"/>
  <c r="L208" i="2"/>
  <c r="G208" i="2"/>
  <c r="F208" i="2"/>
  <c r="O208" i="2" s="1"/>
  <c r="O206" i="2"/>
  <c r="G206" i="2"/>
  <c r="F206" i="2"/>
  <c r="O205" i="2"/>
  <c r="L205" i="2"/>
  <c r="F205" i="2"/>
  <c r="G205" i="2" s="1"/>
  <c r="M204" i="2"/>
  <c r="G204" i="2"/>
  <c r="F204" i="2"/>
  <c r="O204" i="2" s="1"/>
  <c r="L203" i="2"/>
  <c r="F203" i="2"/>
  <c r="O203" i="2" s="1"/>
  <c r="F202" i="2"/>
  <c r="G202" i="2" s="1"/>
  <c r="F201" i="2"/>
  <c r="G201" i="2" s="1"/>
  <c r="G200" i="2"/>
  <c r="G199" i="2"/>
  <c r="F199" i="2"/>
  <c r="G198" i="2"/>
  <c r="F198" i="2"/>
  <c r="G197" i="2"/>
  <c r="F197" i="2"/>
  <c r="G196" i="2"/>
  <c r="F196" i="2"/>
  <c r="G195" i="2"/>
  <c r="F195" i="2"/>
  <c r="G193" i="2"/>
  <c r="S186" i="2"/>
  <c r="Q186" i="2"/>
  <c r="S184" i="2"/>
  <c r="Q184" i="2"/>
  <c r="T160" i="2"/>
  <c r="T159" i="2"/>
  <c r="E143" i="2"/>
  <c r="G143" i="2" s="1"/>
  <c r="E141" i="2"/>
  <c r="G141" i="2" s="1"/>
  <c r="E133" i="2"/>
  <c r="E129" i="2" s="1"/>
  <c r="G129" i="2" s="1"/>
  <c r="E132" i="2"/>
  <c r="I132" i="2" s="1"/>
  <c r="E128" i="2"/>
  <c r="E142" i="2" s="1"/>
  <c r="G142" i="2" s="1"/>
  <c r="D94" i="2"/>
  <c r="F94" i="2" s="1"/>
  <c r="D92" i="2"/>
  <c r="F92" i="2" s="1"/>
  <c r="D86" i="2"/>
  <c r="F86" i="2" s="1"/>
  <c r="F85" i="2"/>
  <c r="E85" i="2"/>
  <c r="E94" i="2" s="1"/>
  <c r="G94" i="2" s="1"/>
  <c r="D85" i="2"/>
  <c r="D95" i="2" s="1"/>
  <c r="F95" i="2" s="1"/>
  <c r="D84" i="2"/>
  <c r="F84" i="2" s="1"/>
  <c r="D82" i="2"/>
  <c r="F82" i="2" s="1"/>
  <c r="F81" i="2"/>
  <c r="E81" i="2"/>
  <c r="E92" i="2" s="1"/>
  <c r="G92" i="2" s="1"/>
  <c r="D81" i="2"/>
  <c r="D93" i="2" s="1"/>
  <c r="F93" i="2" s="1"/>
  <c r="D80" i="2"/>
  <c r="F80" i="2" s="1"/>
  <c r="D69" i="2"/>
  <c r="F69" i="2" s="1"/>
  <c r="D67" i="2"/>
  <c r="F67" i="2" s="1"/>
  <c r="G66" i="2"/>
  <c r="F66" i="2"/>
  <c r="G65" i="2"/>
  <c r="F65" i="2"/>
  <c r="G64" i="2"/>
  <c r="F64" i="2"/>
  <c r="G63" i="2"/>
  <c r="F63" i="2"/>
  <c r="D57" i="2"/>
  <c r="F57" i="2" s="1"/>
  <c r="F56" i="2"/>
  <c r="E56" i="2"/>
  <c r="E69" i="2" s="1"/>
  <c r="G69" i="2" s="1"/>
  <c r="D56" i="2"/>
  <c r="D70" i="2" s="1"/>
  <c r="F70" i="2" s="1"/>
  <c r="E55" i="2"/>
  <c r="G55" i="2" s="1"/>
  <c r="D55" i="2"/>
  <c r="F55" i="2" s="1"/>
  <c r="D53" i="2"/>
  <c r="F53" i="2" s="1"/>
  <c r="F52" i="2"/>
  <c r="E52" i="2"/>
  <c r="E67" i="2" s="1"/>
  <c r="G67" i="2" s="1"/>
  <c r="D52" i="2"/>
  <c r="D68" i="2" s="1"/>
  <c r="F68" i="2" s="1"/>
  <c r="E51" i="2"/>
  <c r="G51" i="2" s="1"/>
  <c r="D51" i="2"/>
  <c r="F51" i="2" s="1"/>
  <c r="D42" i="2"/>
  <c r="F42" i="2" s="1"/>
  <c r="D40" i="2"/>
  <c r="F40" i="2" s="1"/>
  <c r="G39" i="2"/>
  <c r="F39" i="2"/>
  <c r="G38" i="2"/>
  <c r="F38" i="2"/>
  <c r="G37" i="2"/>
  <c r="F37" i="2"/>
  <c r="G36" i="2"/>
  <c r="F36" i="2"/>
  <c r="D26" i="2"/>
  <c r="F26" i="2" s="1"/>
  <c r="F25" i="2"/>
  <c r="E25" i="2"/>
  <c r="E42" i="2" s="1"/>
  <c r="G42" i="2" s="1"/>
  <c r="D25" i="2"/>
  <c r="D108" i="2" s="1"/>
  <c r="D24" i="2"/>
  <c r="F24" i="2" s="1"/>
  <c r="D22" i="2"/>
  <c r="F22" i="2" s="1"/>
  <c r="F21" i="2"/>
  <c r="E21" i="2"/>
  <c r="E40" i="2" s="1"/>
  <c r="G40" i="2" s="1"/>
  <c r="D21" i="2"/>
  <c r="D41" i="2" s="1"/>
  <c r="F41" i="2" s="1"/>
  <c r="D20" i="2"/>
  <c r="F20" i="2" s="1"/>
  <c r="D18" i="2"/>
  <c r="F18" i="2" s="1"/>
  <c r="F17" i="2"/>
  <c r="E17" i="2"/>
  <c r="G17" i="2" s="1"/>
  <c r="D17" i="2"/>
  <c r="D16" i="2"/>
  <c r="F16" i="2" s="1"/>
  <c r="D104" i="2" l="1"/>
  <c r="D119" i="2"/>
  <c r="F119" i="2" s="1"/>
  <c r="D109" i="2"/>
  <c r="D158" i="2"/>
  <c r="H108" i="2"/>
  <c r="D107" i="2"/>
  <c r="D120" i="2"/>
  <c r="F120" i="2" s="1"/>
  <c r="D112" i="2"/>
  <c r="D110" i="2"/>
  <c r="F108" i="2"/>
  <c r="E27" i="2"/>
  <c r="E29" i="2"/>
  <c r="E33" i="2"/>
  <c r="G33" i="2" s="1"/>
  <c r="E41" i="2"/>
  <c r="G41" i="2" s="1"/>
  <c r="E43" i="2"/>
  <c r="G43" i="2" s="1"/>
  <c r="E58" i="2"/>
  <c r="E60" i="2"/>
  <c r="E68" i="2"/>
  <c r="G68" i="2" s="1"/>
  <c r="E70" i="2"/>
  <c r="G70" i="2" s="1"/>
  <c r="E87" i="2"/>
  <c r="E89" i="2"/>
  <c r="E93" i="2"/>
  <c r="G93" i="2" s="1"/>
  <c r="E95" i="2"/>
  <c r="G95" i="2" s="1"/>
  <c r="E108" i="2"/>
  <c r="N205" i="2"/>
  <c r="E137" i="2"/>
  <c r="G137" i="2" s="1"/>
  <c r="G21" i="2"/>
  <c r="G25" i="2"/>
  <c r="G52" i="2"/>
  <c r="G56" i="2"/>
  <c r="G81" i="2"/>
  <c r="G85" i="2"/>
  <c r="D132" i="2"/>
  <c r="I204" i="2"/>
  <c r="D28" i="2"/>
  <c r="F28" i="2" s="1"/>
  <c r="D30" i="2"/>
  <c r="F30" i="2" s="1"/>
  <c r="D32" i="2"/>
  <c r="F32" i="2" s="1"/>
  <c r="D34" i="2"/>
  <c r="F34" i="2" s="1"/>
  <c r="D59" i="2"/>
  <c r="F59" i="2" s="1"/>
  <c r="D61" i="2"/>
  <c r="F61" i="2" s="1"/>
  <c r="D88" i="2"/>
  <c r="F88" i="2" s="1"/>
  <c r="D90" i="2"/>
  <c r="F90" i="2" s="1"/>
  <c r="G133" i="2"/>
  <c r="E24" i="2"/>
  <c r="E26" i="2"/>
  <c r="E57" i="2"/>
  <c r="E59" i="2"/>
  <c r="G59" i="2" s="1"/>
  <c r="E84" i="2"/>
  <c r="E86" i="2"/>
  <c r="G203" i="2"/>
  <c r="I206" i="2"/>
  <c r="G209" i="2"/>
  <c r="G211" i="2"/>
  <c r="G128" i="2"/>
  <c r="G132" i="2"/>
  <c r="E134" i="2"/>
  <c r="E136" i="2"/>
  <c r="E144" i="2"/>
  <c r="G144" i="2" s="1"/>
  <c r="I209" i="2"/>
  <c r="N203" i="2"/>
  <c r="D27" i="2"/>
  <c r="D29" i="2"/>
  <c r="D33" i="2"/>
  <c r="F33" i="2" s="1"/>
  <c r="D43" i="2"/>
  <c r="F43" i="2" s="1"/>
  <c r="D58" i="2"/>
  <c r="D60" i="2"/>
  <c r="D87" i="2"/>
  <c r="D89" i="2"/>
  <c r="E131" i="2"/>
  <c r="G134" i="2" l="1"/>
  <c r="E138" i="2"/>
  <c r="G138" i="2" s="1"/>
  <c r="E130" i="2"/>
  <c r="G130" i="2" s="1"/>
  <c r="G84" i="2"/>
  <c r="E88" i="2"/>
  <c r="G88" i="2" s="1"/>
  <c r="E80" i="2"/>
  <c r="G80" i="2" s="1"/>
  <c r="E119" i="2"/>
  <c r="G119" i="2" s="1"/>
  <c r="E109" i="2"/>
  <c r="I108" i="2"/>
  <c r="E107" i="2"/>
  <c r="E120" i="2"/>
  <c r="G120" i="2" s="1"/>
  <c r="E112" i="2"/>
  <c r="E110" i="2"/>
  <c r="G108" i="2"/>
  <c r="E104" i="2"/>
  <c r="G58" i="2"/>
  <c r="E62" i="2"/>
  <c r="G62" i="2" s="1"/>
  <c r="E54" i="2"/>
  <c r="G54" i="2" s="1"/>
  <c r="D121" i="2"/>
  <c r="F121" i="2" s="1"/>
  <c r="F112" i="2"/>
  <c r="D122" i="2"/>
  <c r="F122" i="2" s="1"/>
  <c r="D45" i="2"/>
  <c r="F45" i="2" s="1"/>
  <c r="D44" i="2"/>
  <c r="F44" i="2" s="1"/>
  <c r="F29" i="2"/>
  <c r="G57" i="2"/>
  <c r="E61" i="2"/>
  <c r="G61" i="2" s="1"/>
  <c r="E53" i="2"/>
  <c r="G53" i="2" s="1"/>
  <c r="D111" i="2"/>
  <c r="F111" i="2" s="1"/>
  <c r="F107" i="2"/>
  <c r="D103" i="2"/>
  <c r="F103" i="2" s="1"/>
  <c r="E127" i="2"/>
  <c r="G127" i="2" s="1"/>
  <c r="E135" i="2"/>
  <c r="G135" i="2" s="1"/>
  <c r="G131" i="2"/>
  <c r="D35" i="2"/>
  <c r="F35" i="2" s="1"/>
  <c r="D31" i="2"/>
  <c r="F31" i="2" s="1"/>
  <c r="D23" i="2"/>
  <c r="F23" i="2" s="1"/>
  <c r="D19" i="2"/>
  <c r="F19" i="2" s="1"/>
  <c r="F27" i="2"/>
  <c r="G26" i="2"/>
  <c r="E34" i="2"/>
  <c r="G34" i="2" s="1"/>
  <c r="E30" i="2"/>
  <c r="G30" i="2" s="1"/>
  <c r="E22" i="2"/>
  <c r="G22" i="2" s="1"/>
  <c r="E18" i="2"/>
  <c r="G18" i="2" s="1"/>
  <c r="E96" i="2"/>
  <c r="G96" i="2" s="1"/>
  <c r="G89" i="2"/>
  <c r="E97" i="2"/>
  <c r="G97" i="2" s="1"/>
  <c r="D97" i="2"/>
  <c r="F97" i="2" s="1"/>
  <c r="D96" i="2"/>
  <c r="F96" i="2" s="1"/>
  <c r="F89" i="2"/>
  <c r="G24" i="2"/>
  <c r="E32" i="2"/>
  <c r="G32" i="2" s="1"/>
  <c r="E28" i="2"/>
  <c r="G28" i="2" s="1"/>
  <c r="E20" i="2"/>
  <c r="G20" i="2" s="1"/>
  <c r="E16" i="2"/>
  <c r="G16" i="2" s="1"/>
  <c r="G87" i="2"/>
  <c r="E91" i="2"/>
  <c r="G91" i="2" s="1"/>
  <c r="E83" i="2"/>
  <c r="G83" i="2" s="1"/>
  <c r="E44" i="2"/>
  <c r="G44" i="2" s="1"/>
  <c r="G29" i="2"/>
  <c r="E45" i="2"/>
  <c r="G45" i="2" s="1"/>
  <c r="F158" i="2"/>
  <c r="D168" i="2"/>
  <c r="E168" i="2" s="1"/>
  <c r="E158" i="2"/>
  <c r="D162" i="2"/>
  <c r="D159" i="2"/>
  <c r="D154" i="2"/>
  <c r="D167" i="2"/>
  <c r="E167" i="2" s="1"/>
  <c r="D160" i="2"/>
  <c r="H158" i="2"/>
  <c r="D157" i="2"/>
  <c r="D91" i="2"/>
  <c r="F91" i="2" s="1"/>
  <c r="D83" i="2"/>
  <c r="F83" i="2" s="1"/>
  <c r="F87" i="2"/>
  <c r="G27" i="2"/>
  <c r="E35" i="2"/>
  <c r="G35" i="2" s="1"/>
  <c r="E31" i="2"/>
  <c r="G31" i="2" s="1"/>
  <c r="E23" i="2"/>
  <c r="G23" i="2" s="1"/>
  <c r="E19" i="2"/>
  <c r="G19" i="2" s="1"/>
  <c r="F109" i="2"/>
  <c r="D113" i="2"/>
  <c r="D105" i="2"/>
  <c r="F105" i="2" s="1"/>
  <c r="D72" i="2"/>
  <c r="F72" i="2" s="1"/>
  <c r="D71" i="2"/>
  <c r="F71" i="2" s="1"/>
  <c r="F60" i="2"/>
  <c r="D62" i="2"/>
  <c r="F62" i="2" s="1"/>
  <c r="D54" i="2"/>
  <c r="F54" i="2" s="1"/>
  <c r="F58" i="2"/>
  <c r="G136" i="2"/>
  <c r="E146" i="2"/>
  <c r="G146" i="2" s="1"/>
  <c r="E145" i="2"/>
  <c r="G145" i="2" s="1"/>
  <c r="G86" i="2"/>
  <c r="E90" i="2"/>
  <c r="G90" i="2" s="1"/>
  <c r="E82" i="2"/>
  <c r="G82" i="2" s="1"/>
  <c r="H132" i="2"/>
  <c r="D131" i="2"/>
  <c r="D180" i="2"/>
  <c r="D144" i="2"/>
  <c r="F144" i="2" s="1"/>
  <c r="D136" i="2"/>
  <c r="D134" i="2"/>
  <c r="F132" i="2"/>
  <c r="D128" i="2"/>
  <c r="D143" i="2"/>
  <c r="F143" i="2" s="1"/>
  <c r="D133" i="2"/>
  <c r="E71" i="2"/>
  <c r="G71" i="2" s="1"/>
  <c r="G60" i="2"/>
  <c r="E72" i="2"/>
  <c r="G72" i="2" s="1"/>
  <c r="D106" i="2"/>
  <c r="F106" i="2" s="1"/>
  <c r="F110" i="2"/>
  <c r="D114" i="2"/>
  <c r="F114" i="2" s="1"/>
  <c r="D117" i="2"/>
  <c r="F117" i="2" s="1"/>
  <c r="D118" i="2"/>
  <c r="F118" i="2" s="1"/>
  <c r="F104" i="2"/>
  <c r="D190" i="2" l="1"/>
  <c r="E190" i="2" s="1"/>
  <c r="F180" i="2"/>
  <c r="E180" i="2"/>
  <c r="D182" i="2"/>
  <c r="D176" i="2"/>
  <c r="D189" i="2"/>
  <c r="E189" i="2" s="1"/>
  <c r="D184" i="2"/>
  <c r="D181" i="2"/>
  <c r="D179" i="2"/>
  <c r="F113" i="2"/>
  <c r="Q113" i="2"/>
  <c r="D170" i="2"/>
  <c r="E170" i="2" s="1"/>
  <c r="E162" i="2"/>
  <c r="D169" i="2"/>
  <c r="E169" i="2" s="1"/>
  <c r="E113" i="2"/>
  <c r="G113" i="2" s="1"/>
  <c r="E105" i="2"/>
  <c r="G105" i="2" s="1"/>
  <c r="G109" i="2"/>
  <c r="D129" i="2"/>
  <c r="F129" i="2" s="1"/>
  <c r="F133" i="2"/>
  <c r="D137" i="2"/>
  <c r="F137" i="2" s="1"/>
  <c r="D127" i="2"/>
  <c r="F127" i="2" s="1"/>
  <c r="D135" i="2"/>
  <c r="F135" i="2" s="1"/>
  <c r="F131" i="2"/>
  <c r="E117" i="2"/>
  <c r="G117" i="2" s="1"/>
  <c r="E118" i="2"/>
  <c r="G118" i="2" s="1"/>
  <c r="G104" i="2"/>
  <c r="D161" i="2"/>
  <c r="E161" i="2" s="1"/>
  <c r="E157" i="2"/>
  <c r="S161" i="2" s="1"/>
  <c r="T161" i="2" s="1"/>
  <c r="D153" i="2"/>
  <c r="E153" i="2" s="1"/>
  <c r="D142" i="2"/>
  <c r="F142" i="2" s="1"/>
  <c r="F128" i="2"/>
  <c r="D141" i="2"/>
  <c r="F141" i="2" s="1"/>
  <c r="F168" i="2"/>
  <c r="G168" i="2" s="1"/>
  <c r="G158" i="2"/>
  <c r="F162" i="2"/>
  <c r="F159" i="2"/>
  <c r="F154" i="2"/>
  <c r="F167" i="2"/>
  <c r="G167" i="2" s="1"/>
  <c r="F160" i="2"/>
  <c r="F157" i="2"/>
  <c r="I158" i="2"/>
  <c r="G110" i="2"/>
  <c r="E114" i="2"/>
  <c r="G114" i="2" s="1"/>
  <c r="E106" i="2"/>
  <c r="G106" i="2" s="1"/>
  <c r="D164" i="2"/>
  <c r="E164" i="2" s="1"/>
  <c r="D156" i="2"/>
  <c r="E156" i="2" s="1"/>
  <c r="S158" i="2" s="1"/>
  <c r="T158" i="2" s="1"/>
  <c r="T162" i="2" s="1"/>
  <c r="E160" i="2"/>
  <c r="E121" i="2"/>
  <c r="G121" i="2" s="1"/>
  <c r="G112" i="2"/>
  <c r="E122" i="2"/>
  <c r="G122" i="2" s="1"/>
  <c r="F134" i="2"/>
  <c r="D138" i="2"/>
  <c r="F138" i="2" s="1"/>
  <c r="D130" i="2"/>
  <c r="F130" i="2" s="1"/>
  <c r="F136" i="2"/>
  <c r="D146" i="2"/>
  <c r="F146" i="2" s="1"/>
  <c r="D145" i="2"/>
  <c r="F145" i="2" s="1"/>
  <c r="D166" i="2"/>
  <c r="E166" i="2" s="1"/>
  <c r="E154" i="2"/>
  <c r="D165" i="2"/>
  <c r="E165" i="2" s="1"/>
  <c r="E111" i="2"/>
  <c r="G111" i="2" s="1"/>
  <c r="G107" i="2"/>
  <c r="E103" i="2"/>
  <c r="G103" i="2" s="1"/>
  <c r="E159" i="2"/>
  <c r="D163" i="2"/>
  <c r="E163" i="2" s="1"/>
  <c r="D155" i="2"/>
  <c r="E155" i="2" s="1"/>
  <c r="G157" i="2" l="1"/>
  <c r="F153" i="2"/>
  <c r="G153" i="2" s="1"/>
  <c r="F161" i="2"/>
  <c r="G161" i="2" s="1"/>
  <c r="D185" i="2"/>
  <c r="E185" i="2" s="1"/>
  <c r="E181" i="2"/>
  <c r="D177" i="2"/>
  <c r="E177" i="2" s="1"/>
  <c r="F164" i="2"/>
  <c r="G164" i="2" s="1"/>
  <c r="F156" i="2"/>
  <c r="G156" i="2" s="1"/>
  <c r="G160" i="2"/>
  <c r="D192" i="2"/>
  <c r="E192" i="2" s="1"/>
  <c r="D191" i="2"/>
  <c r="E191" i="2" s="1"/>
  <c r="E184" i="2"/>
  <c r="F166" i="2"/>
  <c r="G166" i="2" s="1"/>
  <c r="G154" i="2"/>
  <c r="F165" i="2"/>
  <c r="G165" i="2" s="1"/>
  <c r="D188" i="2"/>
  <c r="E188" i="2" s="1"/>
  <c r="E176" i="2"/>
  <c r="D187" i="2"/>
  <c r="E187" i="2" s="1"/>
  <c r="G159" i="2"/>
  <c r="F163" i="2"/>
  <c r="G163" i="2" s="1"/>
  <c r="F155" i="2"/>
  <c r="G155" i="2" s="1"/>
  <c r="E182" i="2"/>
  <c r="D186" i="2"/>
  <c r="E186" i="2" s="1"/>
  <c r="D178" i="2"/>
  <c r="E178" i="2" s="1"/>
  <c r="F170" i="2"/>
  <c r="G170" i="2" s="1"/>
  <c r="G162" i="2"/>
  <c r="F169" i="2"/>
  <c r="G169" i="2" s="1"/>
  <c r="F182" i="2"/>
  <c r="F176" i="2"/>
  <c r="F189" i="2"/>
  <c r="G189" i="2" s="1"/>
  <c r="F184" i="2"/>
  <c r="F181" i="2"/>
  <c r="F179" i="2"/>
  <c r="F190" i="2"/>
  <c r="G190" i="2" s="1"/>
  <c r="G180" i="2"/>
  <c r="E179" i="2"/>
  <c r="D183" i="2"/>
  <c r="E183" i="2" s="1"/>
  <c r="D175" i="2"/>
  <c r="E175" i="2" s="1"/>
  <c r="F191" i="2" l="1"/>
  <c r="G191" i="2" s="1"/>
  <c r="G184" i="2"/>
  <c r="F192" i="2"/>
  <c r="G192" i="2" s="1"/>
  <c r="F187" i="2"/>
  <c r="G187" i="2" s="1"/>
  <c r="F188" i="2"/>
  <c r="G188" i="2" s="1"/>
  <c r="G176" i="2"/>
  <c r="F186" i="2"/>
  <c r="G186" i="2" s="1"/>
  <c r="F178" i="2"/>
  <c r="G178" i="2" s="1"/>
  <c r="G182" i="2"/>
  <c r="Q183" i="2"/>
  <c r="G179" i="2"/>
  <c r="F183" i="2"/>
  <c r="G183" i="2" s="1"/>
  <c r="F175" i="2"/>
  <c r="G175" i="2" s="1"/>
  <c r="G181" i="2"/>
  <c r="F177" i="2"/>
  <c r="G177" i="2" s="1"/>
  <c r="F185" i="2"/>
  <c r="G185" i="2" s="1"/>
  <c r="R183" i="2" l="1"/>
  <c r="Q185" i="2"/>
  <c r="S183" i="2"/>
  <c r="S185" i="2" l="1"/>
  <c r="T183" i="2"/>
</calcChain>
</file>

<file path=xl/sharedStrings.xml><?xml version="1.0" encoding="utf-8"?>
<sst xmlns="http://schemas.openxmlformats.org/spreadsheetml/2006/main" count="337" uniqueCount="131">
  <si>
    <t>УТВЕРЖДАЮ:</t>
  </si>
  <si>
    <t>(Утверждены приказом № 18</t>
  </si>
  <si>
    <t>Директор Кобринскоо опытного лесхоза</t>
  </si>
  <si>
    <t>от  06.01.2026 г.)</t>
  </si>
  <si>
    <t>____________</t>
  </si>
  <si>
    <t xml:space="preserve">     Н.А. Полуянов</t>
  </si>
  <si>
    <t>Вводится в действие  с</t>
  </si>
  <si>
    <t>12.01.2026 г.</t>
  </si>
  <si>
    <t xml:space="preserve">    СВОБОДНО-ОТПУСКНЫЕ ЦЕНЫ</t>
  </si>
  <si>
    <t>НА ПРОДУКЦИЮ ДЕРЕВООБРАБОТКИ,</t>
  </si>
  <si>
    <r>
      <t xml:space="preserve">реализуемую на условиях  франко-склад ПОСТАВЩИКА(ПРОДАВЦА)(Дивинский цех переработки древесины) </t>
    </r>
    <r>
      <rPr>
        <b/>
        <u/>
        <sz val="18"/>
        <rFont val="Times New Roman"/>
        <family val="1"/>
        <charset val="204"/>
      </rPr>
      <t xml:space="preserve"> </t>
    </r>
  </si>
  <si>
    <r>
      <t>Дополнительно производится  начисление НДС по ставке</t>
    </r>
    <r>
      <rPr>
        <i/>
        <u/>
        <sz val="20"/>
        <rFont val="Times New Roman"/>
        <family val="1"/>
        <charset val="204"/>
      </rPr>
      <t xml:space="preserve"> 20%</t>
    </r>
  </si>
  <si>
    <t xml:space="preserve"> Прейскурант действует для:  ЮРИДИЧЕСКИХ  ЛИЦ следующих категорий:  для сельскохозяйственных организаций, осуществляющих строительство, в том числе ремонт животноводческих ферм, др. объектов производственной и социальной инфраструктуры, находящихся на их балансе; организаций, осуществляющих ремонт и текущее содержание объектов, находящихся на балансе бюджетных организаций; организаций, осуществляющих строительство жилья в рамках государственных программ и (или) за счет бюджетный средств, а также для ФИЗИЧЕСКИХ ЛИЦ (для собственного потребления).</t>
  </si>
  <si>
    <t xml:space="preserve">ПИЛОМАТЕРИАЛЫ  ХВОЙНЫХ  ПОРОД  </t>
  </si>
  <si>
    <t>СТБ 1713-2007</t>
  </si>
  <si>
    <t xml:space="preserve">Длина,  м   </t>
  </si>
  <si>
    <t>Сорт</t>
  </si>
  <si>
    <t>Толщина,мм</t>
  </si>
  <si>
    <r>
      <t xml:space="preserve"> Цена за 1  пл.м</t>
    </r>
    <r>
      <rPr>
        <b/>
        <vertAlign val="superscript"/>
        <sz val="16"/>
        <rFont val="Times New Roman"/>
        <family val="1"/>
        <charset val="204"/>
      </rPr>
      <t>3</t>
    </r>
    <r>
      <rPr>
        <b/>
        <sz val="16"/>
        <rFont val="Times New Roman"/>
        <family val="1"/>
        <charset val="204"/>
      </rPr>
      <t xml:space="preserve">   без  НДС, руб.</t>
    </r>
  </si>
  <si>
    <r>
      <t xml:space="preserve">                Цена за 1 пл. м</t>
    </r>
    <r>
      <rPr>
        <b/>
        <vertAlign val="superscript"/>
        <sz val="16"/>
        <rFont val="Times New Roman"/>
        <family val="1"/>
        <charset val="204"/>
      </rPr>
      <t>3</t>
    </r>
    <r>
      <rPr>
        <b/>
        <sz val="16"/>
        <rFont val="Times New Roman"/>
        <family val="1"/>
        <charset val="204"/>
      </rPr>
      <t xml:space="preserve">  с НДС,  руб.</t>
    </r>
  </si>
  <si>
    <t>обрезные</t>
  </si>
  <si>
    <t>необрезные</t>
  </si>
  <si>
    <t>2.0-6.5</t>
  </si>
  <si>
    <t>Отборный</t>
  </si>
  <si>
    <t xml:space="preserve">             до 25</t>
  </si>
  <si>
    <t>25-30</t>
  </si>
  <si>
    <t>32-40</t>
  </si>
  <si>
    <t xml:space="preserve">             44 и более</t>
  </si>
  <si>
    <t>ДОСКА</t>
  </si>
  <si>
    <t>от 0.5 -1 м</t>
  </si>
  <si>
    <t>от 1-1,5 м</t>
  </si>
  <si>
    <r>
      <t>от 1,5 до 2</t>
    </r>
    <r>
      <rPr>
        <sz val="16"/>
        <rFont val="Times New Roman"/>
        <family val="1"/>
      </rPr>
      <t xml:space="preserve"> м</t>
    </r>
  </si>
  <si>
    <t>БРУС</t>
  </si>
  <si>
    <t>150 и более</t>
  </si>
  <si>
    <t xml:space="preserve">    ПИЛОМАТЕРИАЛЫ МЯГКОЛИСТВЕННЫХ ПОРОД  </t>
  </si>
  <si>
    <t>СТБ 1714-2007</t>
  </si>
  <si>
    <t xml:space="preserve">                  </t>
  </si>
  <si>
    <t>до 0.5 м</t>
  </si>
  <si>
    <t xml:space="preserve">    ПИЛОМАТЕРИАЛЫ ТВЁРДОЛИСТВЕННЫХ ПОРОД</t>
  </si>
  <si>
    <t>длина  от 2.0  до 6.5 м.</t>
  </si>
  <si>
    <t xml:space="preserve">  </t>
  </si>
  <si>
    <t>Сухие  пиломатериалы (влажностью до 22%)</t>
  </si>
  <si>
    <t>ПИЛОМАТЕРИАЛЫ  ХВОЙНЫХ  ПОРОД</t>
  </si>
  <si>
    <t xml:space="preserve">Длина,м     </t>
  </si>
  <si>
    <t>2.0-6,5</t>
  </si>
  <si>
    <t>разница сухие сырые</t>
  </si>
  <si>
    <t>2-6,5</t>
  </si>
  <si>
    <t>СТРОГАННАЯ ПИЛОПРОДУКЦИЯ:</t>
  </si>
  <si>
    <r>
      <t xml:space="preserve"> Цена за 1пл. м</t>
    </r>
    <r>
      <rPr>
        <b/>
        <vertAlign val="superscript"/>
        <sz val="16"/>
        <rFont val="Times New Roman"/>
        <family val="1"/>
        <charset val="204"/>
      </rPr>
      <t>3</t>
    </r>
    <r>
      <rPr>
        <b/>
        <sz val="16"/>
        <rFont val="Times New Roman"/>
        <family val="1"/>
        <charset val="204"/>
      </rPr>
      <t xml:space="preserve"> , руб.</t>
    </r>
  </si>
  <si>
    <r>
      <t xml:space="preserve"> Цена за 1пл.м</t>
    </r>
    <r>
      <rPr>
        <b/>
        <vertAlign val="superscript"/>
        <sz val="16"/>
        <rFont val="Times New Roman"/>
        <family val="1"/>
        <charset val="204"/>
      </rPr>
      <t>3</t>
    </r>
    <r>
      <rPr>
        <b/>
        <sz val="16"/>
        <rFont val="Times New Roman"/>
        <family val="1"/>
        <charset val="204"/>
      </rPr>
      <t xml:space="preserve"> , руб. </t>
    </r>
  </si>
  <si>
    <r>
      <t xml:space="preserve"> сухие</t>
    </r>
    <r>
      <rPr>
        <sz val="16"/>
        <rFont val="Times New Roman"/>
        <family val="1"/>
        <charset val="204"/>
      </rPr>
      <t xml:space="preserve"> (влажностью до 22 %)</t>
    </r>
  </si>
  <si>
    <r>
      <t>сырые</t>
    </r>
    <r>
      <rPr>
        <sz val="16"/>
        <rFont val="Times New Roman"/>
        <family val="1"/>
        <charset val="204"/>
      </rPr>
      <t xml:space="preserve"> (влажностью более 22%)</t>
    </r>
  </si>
  <si>
    <t>без НДС</t>
  </si>
  <si>
    <t>с НДС</t>
  </si>
  <si>
    <t>разница строганые нестроганые</t>
  </si>
  <si>
    <t>сухие</t>
  </si>
  <si>
    <t>сырые</t>
  </si>
  <si>
    <r>
      <t>Древесные отходы(горбыль, отрезки пиломат.-лов,отрезки (отбраковка) от окоренных изделий )</t>
    </r>
    <r>
      <rPr>
        <b/>
        <i/>
        <sz val="16"/>
        <rFont val="Times New Roman"/>
        <family val="1"/>
        <charset val="204"/>
      </rPr>
      <t>(организациям)</t>
    </r>
    <r>
      <rPr>
        <b/>
        <sz val="16"/>
        <rFont val="Times New Roman"/>
        <family val="1"/>
        <charset val="204"/>
      </rPr>
      <t xml:space="preserve"> ( пл.м</t>
    </r>
    <r>
      <rPr>
        <b/>
        <sz val="16"/>
        <rFont val="Arial Cyr"/>
        <charset val="204"/>
      </rPr>
      <t>³</t>
    </r>
    <r>
      <rPr>
        <b/>
        <sz val="16"/>
        <rFont val="Times New Roman"/>
        <family val="1"/>
        <charset val="204"/>
      </rPr>
      <t>)СТБ 1867-2017</t>
    </r>
  </si>
  <si>
    <t>с/с</t>
  </si>
  <si>
    <t>Брус</t>
  </si>
  <si>
    <t>Прочая продукция деревообработки по Кобринскому опытныму лесхозу</t>
  </si>
  <si>
    <t>Цена  в руб.(без НДС)</t>
  </si>
  <si>
    <t>Цена  в руб.(с НДС)</t>
  </si>
  <si>
    <r>
      <t xml:space="preserve">Отрезки пиломат.-лов,горбыль, отрезки (отбраковка) от окоренных изделий </t>
    </r>
    <r>
      <rPr>
        <b/>
        <i/>
        <sz val="16"/>
        <rFont val="Times New Roman"/>
        <family val="1"/>
        <charset val="204"/>
      </rPr>
      <t xml:space="preserve">(Юрлицам)Франко-склад Поставщика </t>
    </r>
    <r>
      <rPr>
        <b/>
        <sz val="16"/>
        <rFont val="Times New Roman"/>
        <family val="1"/>
        <charset val="204"/>
      </rPr>
      <t xml:space="preserve"> ( пл.м</t>
    </r>
    <r>
      <rPr>
        <b/>
        <sz val="16"/>
        <rFont val="Arial Cyr"/>
        <charset val="204"/>
      </rPr>
      <t>³</t>
    </r>
    <r>
      <rPr>
        <b/>
        <sz val="16"/>
        <rFont val="Times New Roman"/>
        <family val="1"/>
        <charset val="204"/>
      </rPr>
      <t>)-ТУ BY 100195503.024-2021</t>
    </r>
  </si>
  <si>
    <t>СР.  Цена</t>
  </si>
  <si>
    <r>
      <t>Отрезки пиломат.-лов,горбыль, отрезки (отбраковка) от окоренных изделий (Юрлицам)</t>
    </r>
    <r>
      <rPr>
        <b/>
        <i/>
        <sz val="16"/>
        <rFont val="Times New Roman"/>
        <family val="1"/>
        <charset val="204"/>
      </rPr>
      <t xml:space="preserve">Франко-склад Покупателя (радиус доставки до 20 км) </t>
    </r>
    <r>
      <rPr>
        <b/>
        <sz val="16"/>
        <rFont val="Times New Roman"/>
        <family val="1"/>
        <charset val="204"/>
      </rPr>
      <t xml:space="preserve"> (пл.м</t>
    </r>
    <r>
      <rPr>
        <b/>
        <sz val="16"/>
        <rFont val="Arial Cyr"/>
        <charset val="204"/>
      </rPr>
      <t>³</t>
    </r>
    <r>
      <rPr>
        <b/>
        <sz val="16"/>
        <rFont val="Times New Roman"/>
        <family val="1"/>
        <charset val="204"/>
      </rPr>
      <t>) -ТУ BY 100195503.024-2021</t>
    </r>
  </si>
  <si>
    <r>
      <t>Отрезки пиломат.-лов,горбыль, отрезки (отбраковка) от окоренных изделий (Юрлицам)</t>
    </r>
    <r>
      <rPr>
        <b/>
        <i/>
        <sz val="16"/>
        <color indexed="10"/>
        <rFont val="Times New Roman"/>
        <family val="1"/>
        <charset val="204"/>
      </rPr>
      <t>(Физлицам)</t>
    </r>
    <r>
      <rPr>
        <b/>
        <i/>
        <sz val="16"/>
        <rFont val="Times New Roman"/>
        <family val="1"/>
        <charset val="204"/>
      </rPr>
      <t>Франко-склад Поставщика</t>
    </r>
    <r>
      <rPr>
        <b/>
        <sz val="16"/>
        <rFont val="Times New Roman"/>
        <family val="1"/>
        <charset val="204"/>
      </rPr>
      <t xml:space="preserve"> ( пл.м</t>
    </r>
    <r>
      <rPr>
        <b/>
        <sz val="16"/>
        <rFont val="Arial Cyr"/>
        <charset val="204"/>
      </rPr>
      <t>³</t>
    </r>
    <r>
      <rPr>
        <b/>
        <sz val="16"/>
        <rFont val="Times New Roman"/>
        <family val="1"/>
        <charset val="204"/>
      </rPr>
      <t>) -ТУ BY 100195503.024-2021</t>
    </r>
  </si>
  <si>
    <r>
      <t>Отрезки пиломат.-лов,горбыль, отрезки (отбраковка) от окоренных изделий</t>
    </r>
    <r>
      <rPr>
        <b/>
        <i/>
        <sz val="16"/>
        <rFont val="Times New Roman"/>
        <family val="1"/>
        <charset val="204"/>
      </rPr>
      <t>(</t>
    </r>
    <r>
      <rPr>
        <b/>
        <i/>
        <sz val="16"/>
        <color indexed="10"/>
        <rFont val="Times New Roman"/>
        <family val="1"/>
        <charset val="204"/>
      </rPr>
      <t>Физлицам)</t>
    </r>
    <r>
      <rPr>
        <b/>
        <i/>
        <sz val="16"/>
        <rFont val="Times New Roman"/>
        <family val="1"/>
        <charset val="204"/>
      </rPr>
      <t xml:space="preserve"> (радиус доставки до 20 км)</t>
    </r>
    <r>
      <rPr>
        <b/>
        <sz val="16"/>
        <rFont val="Times New Roman"/>
        <family val="1"/>
        <charset val="204"/>
      </rPr>
      <t xml:space="preserve"> ( пл.м</t>
    </r>
    <r>
      <rPr>
        <b/>
        <sz val="16"/>
        <rFont val="Arial Cyr"/>
        <charset val="204"/>
      </rPr>
      <t>³</t>
    </r>
    <r>
      <rPr>
        <b/>
        <sz val="16"/>
        <rFont val="Times New Roman"/>
        <family val="1"/>
        <charset val="204"/>
      </rPr>
      <t>) - ТУ BY 100195503.024-2021</t>
    </r>
  </si>
  <si>
    <t>Кора - ТУ BY 100195503.024-2021 ( пл.м³)(отходы, полученные от производства окоренных изделий)</t>
  </si>
  <si>
    <t>Кора - ТУ BY 100195503.024-2021 (пл. м3)(отходы, полученныев процессе лесозаготовки)</t>
  </si>
  <si>
    <r>
      <t>Стружка древесная-ТУ BY 100195503.024-2021 (пл.м3</t>
    </r>
    <r>
      <rPr>
        <b/>
        <sz val="16"/>
        <rFont val="Arial Cyr"/>
        <family val="2"/>
        <charset val="204"/>
      </rPr>
      <t>)</t>
    </r>
  </si>
  <si>
    <r>
      <t>Опилки древесные -ТУ BY 100195503.024-2021 (пл.м3</t>
    </r>
    <r>
      <rPr>
        <b/>
        <sz val="16"/>
        <rFont val="Arial Cyr"/>
        <family val="2"/>
        <charset val="204"/>
      </rPr>
      <t>)</t>
    </r>
  </si>
  <si>
    <t>была цена</t>
  </si>
  <si>
    <t>рост цены</t>
  </si>
  <si>
    <t>Доска для покрытия пола ДП  27х80 (СТБ 1074-2009), пл.м3:</t>
  </si>
  <si>
    <t>1 сорт (под прозр. покрытие)</t>
  </si>
  <si>
    <t>2 сорт (под непрозр. покрытие)</t>
  </si>
  <si>
    <r>
      <t>Доска для покрытия пола ДП  35х80,</t>
    </r>
    <r>
      <rPr>
        <b/>
        <sz val="16"/>
        <rFont val="Times New Roman"/>
        <family val="1"/>
        <charset val="204"/>
      </rPr>
      <t xml:space="preserve"> (СТБ 1074-2009),пл.м3:</t>
    </r>
  </si>
  <si>
    <t>Обшивка О2 (СТБ 1074-2009), пл.м3</t>
  </si>
  <si>
    <r>
      <t xml:space="preserve">хвойных </t>
    </r>
    <r>
      <rPr>
        <b/>
        <sz val="16"/>
        <rFont val="Times New Roman"/>
        <family val="1"/>
        <charset val="204"/>
      </rPr>
      <t>пород:</t>
    </r>
  </si>
  <si>
    <t>мягколиственных пород (свыше 1300 мм):</t>
  </si>
  <si>
    <t>мягколиственных пород (короче 1300 мм):</t>
  </si>
  <si>
    <t>Обшивка (Блок-хаус), (СТБ 1074-2009),пл.м3</t>
  </si>
  <si>
    <t xml:space="preserve">Наличник  Н 16х87 за 1 п.м                                                                         </t>
  </si>
  <si>
    <t>Топорища туристические ,ручки к молоткам</t>
  </si>
  <si>
    <t xml:space="preserve"> за 1 шт. без ящика                                 </t>
  </si>
  <si>
    <t>Топорища строительные.ручки к кувалдам:</t>
  </si>
  <si>
    <t xml:space="preserve">Штакетник за 1 пл.м3                                                                 </t>
  </si>
  <si>
    <t>ТУ РБ 00969296.005-98</t>
  </si>
  <si>
    <t>м/листв.</t>
  </si>
  <si>
    <t xml:space="preserve">Щиты заборныетип 3а за 1 шт.  Высота 1,2м                    </t>
  </si>
  <si>
    <t>высота 0,7 м.</t>
  </si>
  <si>
    <r>
      <t>Хозяйственная  дощечка (м</t>
    </r>
    <r>
      <rPr>
        <b/>
        <sz val="16"/>
        <rFont val="Arial Cyr"/>
        <charset val="204"/>
      </rPr>
      <t>³</t>
    </r>
    <r>
      <rPr>
        <b/>
        <sz val="16"/>
        <rFont val="Times New Roman"/>
        <family val="1"/>
        <charset val="204"/>
      </rPr>
      <t>)</t>
    </r>
  </si>
  <si>
    <t>хвойный</t>
  </si>
  <si>
    <t>Изделия оцилиндр.из тонкомерных сортиментов заточенные(внутр.рынок) пл.м3</t>
  </si>
  <si>
    <t xml:space="preserve">Щиты заборные тип 2 высота 1.2 м. за 1 шт.                      </t>
  </si>
  <si>
    <t xml:space="preserve">Щиты заборные тип 2 высота 0,7  м. за 1 шт.                      </t>
  </si>
  <si>
    <t>Фреза  (вн. рынок)</t>
  </si>
  <si>
    <t xml:space="preserve">Точеное изделие цилинд. один торец </t>
  </si>
  <si>
    <t>со снятой  фаской</t>
  </si>
  <si>
    <t xml:space="preserve">Изделия оцилиндр.из тонкомерных сортиментов </t>
  </si>
  <si>
    <t>распил. вдоль</t>
  </si>
  <si>
    <t>Изделия оцилиндр.из тонкомерных сортиментов заточенные(внутр.рынок),                   d 5см</t>
  </si>
  <si>
    <t>d = 6 cм</t>
  </si>
  <si>
    <t>d = 7 cм</t>
  </si>
  <si>
    <t>d = 8-12 cм</t>
  </si>
  <si>
    <r>
      <t xml:space="preserve">Изделия  оцилиндрованные   т/т                          </t>
    </r>
    <r>
      <rPr>
        <b/>
        <sz val="16"/>
        <rFont val="Times New Roman"/>
        <family val="1"/>
      </rPr>
      <t>d = 6 см</t>
    </r>
  </si>
  <si>
    <t>торец/торец</t>
  </si>
  <si>
    <t xml:space="preserve"> d = 7 cм</t>
  </si>
  <si>
    <r>
      <t>Заготовки м/листв. пород:(м</t>
    </r>
    <r>
      <rPr>
        <b/>
        <sz val="16"/>
        <rFont val="Arial Cyr"/>
        <charset val="204"/>
      </rPr>
      <t>³</t>
    </r>
    <r>
      <rPr>
        <b/>
        <sz val="16"/>
        <rFont val="Arial Cyr"/>
        <family val="2"/>
        <charset val="204"/>
      </rPr>
      <t>)</t>
    </r>
  </si>
  <si>
    <t>длина от 0.3-1.0 м.</t>
  </si>
  <si>
    <t>длина от 1.0-1.7 м.</t>
  </si>
  <si>
    <r>
      <t>Изделия оцилиндр.из тонкомерных сортиментов заточенные,распиленные вдоль пл.м3</t>
    </r>
    <r>
      <rPr>
        <b/>
        <sz val="16"/>
        <rFont val="Arial Cyr"/>
        <charset val="204"/>
      </rPr>
      <t>(внутр.рынок)</t>
    </r>
  </si>
  <si>
    <t>Колья деревянные окорённые, за 1пл.м3</t>
  </si>
  <si>
    <t>Поддон общего назначения, за 1 шт.</t>
  </si>
  <si>
    <t>Поддон мебельный 1800*1100*160, за 1 шт.(тип 1)</t>
  </si>
  <si>
    <t>Поддон мебельный 1800*1100*166,за 1 шт.(тип 2а)</t>
  </si>
  <si>
    <t>Поддон мебельный 1200*800*146, за 1 шт.(тип 2б)</t>
  </si>
  <si>
    <t>Поддон мебельный 1800*1200*166, за 1 шт.(тип 2В)</t>
  </si>
  <si>
    <t xml:space="preserve">Поддон мебельный 1500*1100*166 за 1 шт.(тип 3) </t>
  </si>
  <si>
    <t>Щиты деревянные за 1 шт.</t>
  </si>
  <si>
    <t>Изделия оцилиндрованные, за 1 пл.м3</t>
  </si>
  <si>
    <t>Плинтус 1 сорт , пл. м3</t>
  </si>
  <si>
    <t xml:space="preserve">                            м.п.</t>
  </si>
  <si>
    <t>Плинтус 2 сорт , м3</t>
  </si>
  <si>
    <t>Плинтус 3 сорт , м3</t>
  </si>
  <si>
    <t>Наличник 1 сорт , м3</t>
  </si>
  <si>
    <t>Наличник 2 сорт , м3</t>
  </si>
  <si>
    <t>Наличник 3 сорт , м3</t>
  </si>
  <si>
    <t>Экономист</t>
  </si>
  <si>
    <t>Сергеева О.Л.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</si>
</sst>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_-* #,##0_р_._-;\-* #,##0_р_._-;_-* &quot;-&quot;??_р_._-;_-@_-"/>
    <numFmt numFmtId="166" formatCode="0.0%"/>
    <numFmt numFmtId="167" formatCode="_-* #,##0.00\ _₽_-;\-* #,##0.00\ _₽_-;_-* &quot;-&quot;??\ _₽_-;_-@_-"/>
    <numFmt numFmtId="168" formatCode="0.000"/>
    <numFmt numFmtId="169" formatCode="0.0"/>
    <numFmt numFmtId="170" formatCode="_-* #,##0.000_р_._-;\-* #,##0.000_р_._-;_-* &quot;-&quot;??_р_._-;_-@_-"/>
    <numFmt numFmtId="171" formatCode="_-* #,##0.0_р_._-;\-* #,##0.0_р_._-;_-* &quot;-&quot;??_р_._-;_-@_-"/>
  </numFmts>
  <fonts count="6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</font>
    <font>
      <sz val="16"/>
      <name val="Times New Roman"/>
      <family val="1"/>
    </font>
    <font>
      <b/>
      <i/>
      <sz val="16"/>
      <name val="Times New Roman"/>
      <family val="1"/>
    </font>
    <font>
      <sz val="26"/>
      <name val="Arial Cyr"/>
      <charset val="204"/>
    </font>
    <font>
      <b/>
      <sz val="16"/>
      <color indexed="8"/>
      <name val="Times New Roman"/>
      <family val="1"/>
    </font>
    <font>
      <sz val="14"/>
      <name val="Times New Roman"/>
      <family val="1"/>
      <charset val="204"/>
    </font>
    <font>
      <b/>
      <i/>
      <sz val="14"/>
      <name val="Arial Cyr"/>
      <family val="2"/>
      <charset val="204"/>
    </font>
    <font>
      <b/>
      <sz val="28"/>
      <name val="Times New Roman"/>
      <family val="1"/>
    </font>
    <font>
      <sz val="28"/>
      <name val="Arial Cyr"/>
      <charset val="204"/>
    </font>
    <font>
      <b/>
      <sz val="18"/>
      <name val="Times New Roman"/>
      <family val="1"/>
    </font>
    <font>
      <b/>
      <u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i/>
      <sz val="20"/>
      <name val="Times New Roman"/>
      <family val="1"/>
      <charset val="204"/>
    </font>
    <font>
      <i/>
      <u/>
      <sz val="20"/>
      <name val="Times New Roman"/>
      <family val="1"/>
      <charset val="204"/>
    </font>
    <font>
      <b/>
      <sz val="22"/>
      <name val="Times New Roman"/>
      <family val="1"/>
    </font>
    <font>
      <b/>
      <sz val="26"/>
      <name val="Times New Roman"/>
      <family val="1"/>
    </font>
    <font>
      <b/>
      <u/>
      <sz val="26"/>
      <name val="Courier"/>
      <family val="1"/>
      <charset val="204"/>
    </font>
    <font>
      <u/>
      <sz val="26"/>
      <name val="Courier"/>
      <family val="1"/>
      <charset val="204"/>
    </font>
    <font>
      <b/>
      <sz val="16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i/>
      <sz val="16"/>
      <name val="Times New Roman"/>
      <family val="1"/>
    </font>
    <font>
      <b/>
      <sz val="30"/>
      <name val="Courier"/>
      <family val="1"/>
      <charset val="204"/>
    </font>
    <font>
      <b/>
      <sz val="3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34"/>
      <name val="Times New Roman"/>
      <family val="1"/>
      <charset val="204"/>
    </font>
    <font>
      <sz val="30"/>
      <name val="Courier"/>
      <family val="1"/>
      <charset val="204"/>
    </font>
    <font>
      <sz val="30"/>
      <name val="Times New Roman"/>
      <family val="1"/>
      <charset val="204"/>
    </font>
    <font>
      <sz val="34"/>
      <name val="Times New Roman"/>
      <family val="1"/>
      <charset val="204"/>
    </font>
    <font>
      <sz val="3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34"/>
      <name val="Arial Cyr"/>
      <charset val="204"/>
    </font>
    <font>
      <b/>
      <sz val="30"/>
      <name val="Times New Roman"/>
      <family val="1"/>
    </font>
    <font>
      <sz val="14"/>
      <name val="Times New Roman"/>
      <family val="1"/>
    </font>
    <font>
      <b/>
      <sz val="16"/>
      <color indexed="10"/>
      <name val="Times New Roman"/>
      <family val="1"/>
    </font>
    <font>
      <b/>
      <i/>
      <sz val="16"/>
      <color indexed="10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20"/>
      <name val="Arial Cyr"/>
      <charset val="204"/>
    </font>
    <font>
      <b/>
      <sz val="20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</font>
    <font>
      <b/>
      <i/>
      <sz val="12"/>
      <name val="Arial Cyr"/>
      <family val="2"/>
      <charset val="204"/>
    </font>
    <font>
      <sz val="16"/>
      <color indexed="42"/>
      <name val="Times New Roman"/>
      <family val="1"/>
      <charset val="204"/>
    </font>
    <font>
      <b/>
      <sz val="16"/>
      <name val="Arial Cyr"/>
      <charset val="204"/>
    </font>
    <font>
      <sz val="16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2"/>
      <name val="Arial Cyr"/>
      <charset val="204"/>
    </font>
    <font>
      <b/>
      <sz val="16"/>
      <name val="Arial Cyr"/>
      <family val="2"/>
      <charset val="204"/>
    </font>
    <font>
      <b/>
      <i/>
      <sz val="14"/>
      <name val="Arial Cyr"/>
      <charset val="204"/>
    </font>
    <font>
      <b/>
      <u/>
      <sz val="16"/>
      <name val="Times New Roman"/>
      <family val="1"/>
      <charset val="204"/>
    </font>
    <font>
      <sz val="1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2" fontId="1" fillId="0" borderId="0" applyFill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0">
    <xf numFmtId="0" fontId="0" fillId="0" borderId="0" xfId="0"/>
    <xf numFmtId="2" fontId="2" fillId="0" borderId="0" xfId="1" applyFont="1"/>
    <xf numFmtId="2" fontId="3" fillId="0" borderId="0" xfId="1" applyFont="1"/>
    <xf numFmtId="2" fontId="4" fillId="0" borderId="0" xfId="1" applyFont="1"/>
    <xf numFmtId="2" fontId="1" fillId="0" borderId="0" xfId="1"/>
    <xf numFmtId="2" fontId="2" fillId="0" borderId="0" xfId="1" applyFont="1" applyAlignment="1">
      <alignment horizontal="left" wrapText="1"/>
    </xf>
    <xf numFmtId="2" fontId="5" fillId="0" borderId="0" xfId="1" applyFont="1"/>
    <xf numFmtId="2" fontId="6" fillId="0" borderId="0" xfId="1" applyFont="1"/>
    <xf numFmtId="2" fontId="7" fillId="0" borderId="0" xfId="1" applyFont="1"/>
    <xf numFmtId="2" fontId="2" fillId="0" borderId="0" xfId="1" applyFont="1" applyAlignment="1">
      <alignment horizontal="right"/>
    </xf>
    <xf numFmtId="14" fontId="8" fillId="0" borderId="0" xfId="1" applyNumberFormat="1" applyFont="1"/>
    <xf numFmtId="2" fontId="9" fillId="0" borderId="0" xfId="1" applyFont="1"/>
    <xf numFmtId="2" fontId="10" fillId="0" borderId="0" xfId="1" applyFont="1"/>
    <xf numFmtId="2" fontId="2" fillId="0" borderId="0" xfId="1" applyFont="1" applyAlignment="1">
      <alignment horizontal="center"/>
    </xf>
    <xf numFmtId="2" fontId="2" fillId="0" borderId="0" xfId="1" applyFont="1" applyAlignment="1"/>
    <xf numFmtId="2" fontId="4" fillId="0" borderId="0" xfId="1" applyFont="1" applyAlignment="1">
      <alignment horizontal="center"/>
    </xf>
    <xf numFmtId="2" fontId="4" fillId="0" borderId="0" xfId="1" applyFont="1" applyAlignment="1"/>
    <xf numFmtId="2" fontId="11" fillId="0" borderId="0" xfId="1" applyFont="1" applyAlignment="1">
      <alignment horizontal="center" vertical="center"/>
    </xf>
    <xf numFmtId="2" fontId="12" fillId="0" borderId="0" xfId="1" applyFont="1" applyAlignment="1">
      <alignment horizontal="center" vertical="center"/>
    </xf>
    <xf numFmtId="2" fontId="4" fillId="0" borderId="0" xfId="1" applyFont="1" applyAlignment="1">
      <alignment horizontal="center" wrapText="1"/>
    </xf>
    <xf numFmtId="2" fontId="13" fillId="0" borderId="0" xfId="1" applyFont="1" applyAlignment="1">
      <alignment horizontal="center" wrapText="1"/>
    </xf>
    <xf numFmtId="2" fontId="13" fillId="0" borderId="0" xfId="1" applyFont="1" applyAlignment="1"/>
    <xf numFmtId="2" fontId="15" fillId="0" borderId="0" xfId="1" applyFont="1"/>
    <xf numFmtId="2" fontId="16" fillId="0" borderId="0" xfId="1" applyFont="1"/>
    <xf numFmtId="2" fontId="17" fillId="0" borderId="0" xfId="1" applyFont="1" applyAlignment="1">
      <alignment horizontal="center" vertical="center"/>
    </xf>
    <xf numFmtId="2" fontId="18" fillId="0" borderId="0" xfId="1" applyFont="1" applyAlignment="1">
      <alignment horizontal="center" vertical="center"/>
    </xf>
    <xf numFmtId="2" fontId="19" fillId="0" borderId="0" xfId="1" applyFont="1" applyAlignment="1">
      <alignment horizontal="center"/>
    </xf>
    <xf numFmtId="2" fontId="19" fillId="0" borderId="0" xfId="1" applyFont="1" applyAlignment="1"/>
    <xf numFmtId="2" fontId="17" fillId="0" borderId="0" xfId="1" applyFont="1" applyAlignment="1">
      <alignment horizontal="center" vertical="center"/>
    </xf>
    <xf numFmtId="2" fontId="18" fillId="0" borderId="0" xfId="1" applyFont="1" applyAlignment="1">
      <alignment horizontal="center" vertical="center"/>
    </xf>
    <xf numFmtId="2" fontId="12" fillId="0" borderId="0" xfId="1" applyFont="1" applyAlignment="1">
      <alignment horizontal="center" vertical="center"/>
    </xf>
    <xf numFmtId="2" fontId="4" fillId="2" borderId="0" xfId="1" applyFont="1" applyFill="1" applyAlignment="1">
      <alignment horizontal="center" wrapText="1"/>
    </xf>
    <xf numFmtId="2" fontId="4" fillId="0" borderId="0" xfId="1" applyFont="1" applyAlignment="1">
      <alignment horizontal="center"/>
    </xf>
    <xf numFmtId="2" fontId="21" fillId="0" borderId="0" xfId="1" applyFont="1" applyAlignment="1">
      <alignment horizontal="center" wrapText="1"/>
    </xf>
    <xf numFmtId="2" fontId="21" fillId="0" borderId="0" xfId="1" applyFont="1" applyAlignment="1"/>
    <xf numFmtId="2" fontId="22" fillId="0" borderId="0" xfId="1" applyFont="1" applyAlignment="1">
      <alignment horizontal="center" vertical="center"/>
    </xf>
    <xf numFmtId="2" fontId="7" fillId="0" borderId="0" xfId="1" applyFont="1" applyAlignment="1">
      <alignment horizontal="center" vertical="center"/>
    </xf>
    <xf numFmtId="2" fontId="5" fillId="0" borderId="1" xfId="1" applyFont="1" applyBorder="1" applyAlignment="1">
      <alignment horizontal="center"/>
    </xf>
    <xf numFmtId="2" fontId="5" fillId="0" borderId="0" xfId="1" applyFont="1" applyBorder="1" applyAlignment="1">
      <alignment horizontal="center"/>
    </xf>
    <xf numFmtId="2" fontId="1" fillId="0" borderId="0" xfId="1" applyBorder="1"/>
    <xf numFmtId="2" fontId="23" fillId="0" borderId="0" xfId="1" applyFont="1" applyBorder="1" applyAlignment="1">
      <alignment horizontal="center" vertical="center"/>
    </xf>
    <xf numFmtId="2" fontId="24" fillId="0" borderId="0" xfId="1" applyFont="1" applyBorder="1" applyAlignment="1">
      <alignment horizontal="center" vertical="center"/>
    </xf>
    <xf numFmtId="2" fontId="25" fillId="0" borderId="2" xfId="1" applyFont="1" applyBorder="1" applyAlignment="1">
      <alignment horizontal="center" vertical="center"/>
    </xf>
    <xf numFmtId="2" fontId="25" fillId="0" borderId="3" xfId="1" applyFont="1" applyBorder="1" applyAlignment="1">
      <alignment horizontal="center" vertical="center" wrapText="1"/>
    </xf>
    <xf numFmtId="2" fontId="25" fillId="0" borderId="4" xfId="1" applyFont="1" applyBorder="1" applyAlignment="1">
      <alignment horizontal="center" vertical="center" wrapText="1"/>
    </xf>
    <xf numFmtId="2" fontId="25" fillId="0" borderId="5" xfId="1" applyFont="1" applyBorder="1" applyAlignment="1">
      <alignment horizontal="center" vertical="center" wrapText="1"/>
    </xf>
    <xf numFmtId="2" fontId="25" fillId="0" borderId="0" xfId="1" applyFont="1" applyBorder="1" applyAlignment="1">
      <alignment vertical="center"/>
    </xf>
    <xf numFmtId="2" fontId="25" fillId="0" borderId="0" xfId="1" applyFont="1" applyBorder="1" applyAlignment="1">
      <alignment horizontal="center" vertical="center"/>
    </xf>
    <xf numFmtId="2" fontId="1" fillId="0" borderId="0" xfId="1" applyNumberFormat="1"/>
    <xf numFmtId="2" fontId="25" fillId="0" borderId="6" xfId="1" applyFont="1" applyBorder="1" applyAlignment="1">
      <alignment horizontal="center" vertical="center"/>
    </xf>
    <xf numFmtId="2" fontId="27" fillId="0" borderId="5" xfId="1" applyFont="1" applyBorder="1" applyAlignment="1">
      <alignment horizontal="center"/>
    </xf>
    <xf numFmtId="2" fontId="27" fillId="0" borderId="7" xfId="1" applyFont="1" applyBorder="1" applyAlignment="1">
      <alignment horizontal="center"/>
    </xf>
    <xf numFmtId="2" fontId="27" fillId="0" borderId="0" xfId="1" applyFont="1" applyBorder="1" applyAlignment="1">
      <alignment horizontal="center"/>
    </xf>
    <xf numFmtId="2" fontId="25" fillId="0" borderId="2" xfId="1" applyFont="1" applyBorder="1" applyAlignment="1">
      <alignment horizontal="center"/>
    </xf>
    <xf numFmtId="2" fontId="2" fillId="0" borderId="2" xfId="1" applyFont="1" applyBorder="1" applyAlignment="1">
      <alignment horizontal="center"/>
    </xf>
    <xf numFmtId="2" fontId="5" fillId="0" borderId="5" xfId="1" applyFont="1" applyBorder="1" applyAlignment="1">
      <alignment horizontal="left"/>
    </xf>
    <xf numFmtId="164" fontId="4" fillId="0" borderId="8" xfId="2" applyNumberFormat="1" applyFont="1" applyBorder="1" applyAlignment="1">
      <alignment horizontal="center"/>
    </xf>
    <xf numFmtId="164" fontId="4" fillId="0" borderId="5" xfId="2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center"/>
    </xf>
    <xf numFmtId="2" fontId="28" fillId="0" borderId="0" xfId="1" applyFont="1" applyBorder="1" applyAlignment="1">
      <alignment horizontal="right"/>
    </xf>
    <xf numFmtId="2" fontId="29" fillId="0" borderId="0" xfId="1" applyFont="1" applyBorder="1"/>
    <xf numFmtId="2" fontId="9" fillId="0" borderId="0" xfId="1" applyFont="1" applyBorder="1"/>
    <xf numFmtId="2" fontId="30" fillId="0" borderId="0" xfId="1" applyFont="1" applyBorder="1"/>
    <xf numFmtId="2" fontId="31" fillId="0" borderId="0" xfId="1" applyFont="1" applyBorder="1"/>
    <xf numFmtId="1" fontId="32" fillId="0" borderId="0" xfId="1" applyNumberFormat="1" applyFont="1" applyBorder="1" applyAlignment="1">
      <alignment horizontal="right"/>
    </xf>
    <xf numFmtId="2" fontId="32" fillId="0" borderId="0" xfId="1" applyFont="1" applyBorder="1" applyAlignment="1">
      <alignment horizontal="right"/>
    </xf>
    <xf numFmtId="2" fontId="2" fillId="0" borderId="6" xfId="1" applyFont="1" applyBorder="1" applyAlignment="1">
      <alignment horizontal="center"/>
    </xf>
    <xf numFmtId="2" fontId="5" fillId="0" borderId="9" xfId="1" applyFont="1" applyBorder="1" applyAlignment="1">
      <alignment horizontal="center"/>
    </xf>
    <xf numFmtId="9" fontId="1" fillId="0" borderId="0" xfId="1" applyNumberFormat="1" applyBorder="1"/>
    <xf numFmtId="165" fontId="1" fillId="0" borderId="0" xfId="1" applyNumberFormat="1" applyBorder="1"/>
    <xf numFmtId="2" fontId="33" fillId="0" borderId="0" xfId="1" applyFont="1" applyBorder="1" applyAlignment="1">
      <alignment horizontal="right"/>
    </xf>
    <xf numFmtId="2" fontId="34" fillId="0" borderId="0" xfId="1" applyFont="1" applyBorder="1"/>
    <xf numFmtId="2" fontId="5" fillId="0" borderId="5" xfId="1" applyFont="1" applyBorder="1" applyAlignment="1">
      <alignment horizontal="center"/>
    </xf>
    <xf numFmtId="9" fontId="4" fillId="0" borderId="0" xfId="3" applyFont="1" applyBorder="1" applyAlignment="1">
      <alignment horizontal="center"/>
    </xf>
    <xf numFmtId="2" fontId="2" fillId="0" borderId="8" xfId="1" applyFont="1" applyBorder="1" applyAlignment="1">
      <alignment horizontal="center"/>
    </xf>
    <xf numFmtId="2" fontId="5" fillId="0" borderId="9" xfId="1" applyFont="1" applyBorder="1"/>
    <xf numFmtId="165" fontId="1" fillId="0" borderId="0" xfId="1" applyNumberFormat="1" applyBorder="1" applyAlignment="1">
      <alignment horizontal="center"/>
    </xf>
    <xf numFmtId="1" fontId="9" fillId="0" borderId="0" xfId="1" applyNumberFormat="1" applyFont="1" applyBorder="1"/>
    <xf numFmtId="2" fontId="35" fillId="0" borderId="0" xfId="1" applyFont="1" applyBorder="1" applyAlignment="1">
      <alignment horizontal="right"/>
    </xf>
    <xf numFmtId="1" fontId="2" fillId="0" borderId="6" xfId="1" applyNumberFormat="1" applyFont="1" applyBorder="1" applyAlignment="1">
      <alignment horizontal="center"/>
    </xf>
    <xf numFmtId="2" fontId="30" fillId="0" borderId="0" xfId="1" applyFont="1" applyBorder="1" applyAlignment="1">
      <alignment horizontal="right"/>
    </xf>
    <xf numFmtId="1" fontId="31" fillId="0" borderId="0" xfId="1" applyNumberFormat="1" applyFont="1" applyBorder="1"/>
    <xf numFmtId="2" fontId="36" fillId="0" borderId="0" xfId="1" applyFont="1" applyBorder="1"/>
    <xf numFmtId="2" fontId="2" fillId="0" borderId="6" xfId="1" applyFont="1" applyFill="1" applyBorder="1" applyAlignment="1">
      <alignment horizontal="center"/>
    </xf>
    <xf numFmtId="2" fontId="1" fillId="0" borderId="0" xfId="1" applyBorder="1" applyAlignment="1">
      <alignment horizontal="center"/>
    </xf>
    <xf numFmtId="2" fontId="30" fillId="3" borderId="0" xfId="1" applyFont="1" applyFill="1" applyBorder="1"/>
    <xf numFmtId="2" fontId="30" fillId="3" borderId="0" xfId="1" applyFont="1" applyFill="1" applyBorder="1" applyAlignment="1">
      <alignment horizontal="right"/>
    </xf>
    <xf numFmtId="1" fontId="37" fillId="3" borderId="0" xfId="1" applyNumberFormat="1" applyFont="1" applyFill="1" applyBorder="1"/>
    <xf numFmtId="164" fontId="25" fillId="0" borderId="8" xfId="2" applyNumberFormat="1" applyFont="1" applyBorder="1" applyAlignment="1">
      <alignment horizontal="center"/>
    </xf>
    <xf numFmtId="9" fontId="38" fillId="0" borderId="0" xfId="1" applyNumberFormat="1" applyFont="1" applyBorder="1"/>
    <xf numFmtId="2" fontId="39" fillId="0" borderId="0" xfId="1" applyFont="1" applyBorder="1" applyAlignment="1">
      <alignment horizontal="right"/>
    </xf>
    <xf numFmtId="2" fontId="38" fillId="0" borderId="0" xfId="1" applyFont="1" applyBorder="1"/>
    <xf numFmtId="2" fontId="40" fillId="0" borderId="0" xfId="1" applyFont="1" applyBorder="1" applyAlignment="1">
      <alignment horizontal="left"/>
    </xf>
    <xf numFmtId="2" fontId="2" fillId="4" borderId="6" xfId="1" applyFont="1" applyFill="1" applyBorder="1" applyAlignment="1">
      <alignment horizontal="center"/>
    </xf>
    <xf numFmtId="2" fontId="34" fillId="0" borderId="0" xfId="1" applyFont="1" applyBorder="1" applyAlignment="1">
      <alignment horizontal="center"/>
    </xf>
    <xf numFmtId="2" fontId="9" fillId="0" borderId="0" xfId="1" applyFont="1" applyBorder="1" applyAlignment="1">
      <alignment horizontal="center"/>
    </xf>
    <xf numFmtId="2" fontId="41" fillId="0" borderId="0" xfId="1" applyFont="1" applyBorder="1"/>
    <xf numFmtId="164" fontId="42" fillId="0" borderId="8" xfId="2" applyNumberFormat="1" applyFont="1" applyFill="1" applyBorder="1" applyAlignment="1">
      <alignment horizontal="center"/>
    </xf>
    <xf numFmtId="1" fontId="43" fillId="0" borderId="0" xfId="1" applyNumberFormat="1" applyFont="1" applyBorder="1" applyAlignment="1">
      <alignment horizontal="center"/>
    </xf>
    <xf numFmtId="1" fontId="44" fillId="0" borderId="0" xfId="1" applyNumberFormat="1" applyFont="1" applyBorder="1"/>
    <xf numFmtId="2" fontId="41" fillId="0" borderId="0" xfId="1" applyFont="1" applyBorder="1" applyAlignment="1">
      <alignment horizontal="center"/>
    </xf>
    <xf numFmtId="2" fontId="29" fillId="0" borderId="0" xfId="1" applyFont="1" applyBorder="1" applyAlignment="1">
      <alignment horizontal="right"/>
    </xf>
    <xf numFmtId="2" fontId="2" fillId="0" borderId="0" xfId="1" applyFont="1" applyBorder="1" applyAlignment="1">
      <alignment horizontal="center"/>
    </xf>
    <xf numFmtId="2" fontId="25" fillId="3" borderId="0" xfId="1" applyFont="1" applyFill="1" applyBorder="1" applyAlignment="1">
      <alignment horizontal="center"/>
    </xf>
    <xf numFmtId="1" fontId="30" fillId="3" borderId="0" xfId="1" applyNumberFormat="1" applyFont="1" applyFill="1" applyBorder="1"/>
    <xf numFmtId="166" fontId="4" fillId="0" borderId="0" xfId="3" applyNumberFormat="1" applyFont="1" applyBorder="1" applyAlignment="1">
      <alignment horizontal="center"/>
    </xf>
    <xf numFmtId="9" fontId="38" fillId="0" borderId="0" xfId="1" applyNumberFormat="1" applyFont="1" applyBorder="1" applyAlignment="1">
      <alignment horizontal="right"/>
    </xf>
    <xf numFmtId="2" fontId="30" fillId="0" borderId="0" xfId="1" applyFont="1" applyBorder="1" applyAlignment="1">
      <alignment horizontal="center"/>
    </xf>
    <xf numFmtId="2" fontId="5" fillId="3" borderId="0" xfId="1" applyFont="1" applyFill="1" applyBorder="1"/>
    <xf numFmtId="1" fontId="2" fillId="0" borderId="2" xfId="1" applyNumberFormat="1" applyFont="1" applyBorder="1" applyAlignment="1">
      <alignment horizontal="center"/>
    </xf>
    <xf numFmtId="2" fontId="37" fillId="0" borderId="0" xfId="1" applyFont="1" applyBorder="1" applyAlignment="1">
      <alignment horizontal="right"/>
    </xf>
    <xf numFmtId="165" fontId="45" fillId="0" borderId="0" xfId="1" applyNumberFormat="1" applyFont="1" applyBorder="1"/>
    <xf numFmtId="2" fontId="5" fillId="0" borderId="0" xfId="1" applyFont="1" applyBorder="1"/>
    <xf numFmtId="1" fontId="30" fillId="0" borderId="0" xfId="1" applyNumberFormat="1" applyFont="1" applyBorder="1"/>
    <xf numFmtId="2" fontId="46" fillId="0" borderId="0" xfId="1" applyFont="1" applyBorder="1"/>
    <xf numFmtId="2" fontId="47" fillId="0" borderId="0" xfId="1" applyFont="1" applyBorder="1"/>
    <xf numFmtId="2" fontId="5" fillId="0" borderId="0" xfId="1" applyFont="1" applyBorder="1" applyAlignment="1">
      <alignment horizontal="center"/>
    </xf>
    <xf numFmtId="10" fontId="37" fillId="0" borderId="0" xfId="1" applyNumberFormat="1" applyFont="1" applyBorder="1" applyAlignment="1">
      <alignment horizontal="right"/>
    </xf>
    <xf numFmtId="2" fontId="2" fillId="0" borderId="7" xfId="1" applyFont="1" applyBorder="1" applyAlignment="1">
      <alignment horizontal="center"/>
    </xf>
    <xf numFmtId="164" fontId="4" fillId="0" borderId="10" xfId="2" applyNumberFormat="1" applyFont="1" applyBorder="1" applyAlignment="1">
      <alignment horizontal="center"/>
    </xf>
    <xf numFmtId="167" fontId="4" fillId="0" borderId="10" xfId="2" applyNumberFormat="1" applyFont="1" applyBorder="1" applyAlignment="1">
      <alignment horizontal="center"/>
    </xf>
    <xf numFmtId="2" fontId="25" fillId="0" borderId="3" xfId="1" applyFont="1" applyBorder="1" applyAlignment="1">
      <alignment horizontal="center"/>
    </xf>
    <xf numFmtId="2" fontId="2" fillId="0" borderId="11" xfId="1" applyFont="1" applyBorder="1" applyAlignment="1">
      <alignment horizontal="center"/>
    </xf>
    <xf numFmtId="2" fontId="5" fillId="0" borderId="2" xfId="1" applyFont="1" applyBorder="1"/>
    <xf numFmtId="165" fontId="4" fillId="0" borderId="8" xfId="2" applyNumberFormat="1" applyFont="1" applyBorder="1" applyAlignment="1">
      <alignment horizontal="center"/>
    </xf>
    <xf numFmtId="1" fontId="2" fillId="0" borderId="7" xfId="1" applyNumberFormat="1" applyFont="1" applyBorder="1" applyAlignment="1">
      <alignment horizontal="center"/>
    </xf>
    <xf numFmtId="2" fontId="5" fillId="0" borderId="6" xfId="1" applyFont="1" applyBorder="1"/>
    <xf numFmtId="2" fontId="4" fillId="0" borderId="0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2" fontId="1" fillId="0" borderId="7" xfId="1" applyBorder="1"/>
    <xf numFmtId="2" fontId="1" fillId="0" borderId="6" xfId="1" applyBorder="1"/>
    <xf numFmtId="164" fontId="42" fillId="0" borderId="10" xfId="2" applyNumberFormat="1" applyFont="1" applyBorder="1" applyAlignment="1">
      <alignment horizontal="center"/>
    </xf>
    <xf numFmtId="164" fontId="42" fillId="0" borderId="8" xfId="2" applyNumberFormat="1" applyFont="1" applyBorder="1" applyAlignment="1">
      <alignment horizontal="center"/>
    </xf>
    <xf numFmtId="2" fontId="4" fillId="5" borderId="3" xfId="1" applyFont="1" applyFill="1" applyBorder="1" applyAlignment="1">
      <alignment horizontal="center"/>
    </xf>
    <xf numFmtId="2" fontId="2" fillId="0" borderId="12" xfId="1" applyFont="1" applyBorder="1" applyAlignment="1">
      <alignment horizontal="center"/>
    </xf>
    <xf numFmtId="2" fontId="5" fillId="0" borderId="8" xfId="1" applyFont="1" applyBorder="1"/>
    <xf numFmtId="164" fontId="42" fillId="0" borderId="5" xfId="2" applyNumberFormat="1" applyFont="1" applyBorder="1" applyAlignment="1">
      <alignment horizontal="center"/>
    </xf>
    <xf numFmtId="168" fontId="5" fillId="0" borderId="8" xfId="1" applyNumberFormat="1" applyFont="1" applyBorder="1"/>
    <xf numFmtId="2" fontId="3" fillId="0" borderId="0" xfId="1" applyFont="1" applyBorder="1"/>
    <xf numFmtId="2" fontId="5" fillId="0" borderId="0" xfId="1" applyFont="1" applyFill="1" applyBorder="1"/>
    <xf numFmtId="2" fontId="3" fillId="0" borderId="7" xfId="1" applyFont="1" applyBorder="1"/>
    <xf numFmtId="2" fontId="3" fillId="0" borderId="8" xfId="1" applyFont="1" applyBorder="1"/>
    <xf numFmtId="2" fontId="5" fillId="0" borderId="9" xfId="1" applyFont="1" applyFill="1" applyBorder="1"/>
    <xf numFmtId="2" fontId="48" fillId="0" borderId="0" xfId="1" applyFont="1" applyBorder="1"/>
    <xf numFmtId="2" fontId="3" fillId="0" borderId="6" xfId="1" applyFont="1" applyBorder="1"/>
    <xf numFmtId="168" fontId="5" fillId="0" borderId="5" xfId="1" applyNumberFormat="1" applyFont="1" applyBorder="1"/>
    <xf numFmtId="1" fontId="4" fillId="0" borderId="0" xfId="1" applyNumberFormat="1" applyFont="1" applyBorder="1"/>
    <xf numFmtId="1" fontId="3" fillId="0" borderId="8" xfId="1" applyNumberFormat="1" applyFont="1" applyBorder="1"/>
    <xf numFmtId="2" fontId="5" fillId="0" borderId="5" xfId="1" applyFont="1" applyFill="1" applyBorder="1"/>
    <xf numFmtId="2" fontId="2" fillId="0" borderId="0" xfId="1" applyFont="1" applyBorder="1"/>
    <xf numFmtId="2" fontId="3" fillId="0" borderId="0" xfId="1" applyFont="1" applyBorder="1" applyAlignment="1">
      <alignment horizontal="center" wrapText="1"/>
    </xf>
    <xf numFmtId="2" fontId="5" fillId="0" borderId="13" xfId="1" applyFont="1" applyFill="1" applyBorder="1"/>
    <xf numFmtId="164" fontId="4" fillId="0" borderId="13" xfId="2" applyNumberFormat="1" applyFont="1" applyBorder="1" applyAlignment="1">
      <alignment horizontal="center"/>
    </xf>
    <xf numFmtId="2" fontId="49" fillId="0" borderId="13" xfId="1" applyFont="1" applyBorder="1" applyAlignment="1">
      <alignment horizontal="center" wrapText="1"/>
    </xf>
    <xf numFmtId="2" fontId="49" fillId="0" borderId="0" xfId="1" applyFont="1" applyAlignment="1"/>
    <xf numFmtId="2" fontId="49" fillId="0" borderId="14" xfId="1" applyFont="1" applyBorder="1" applyAlignment="1"/>
    <xf numFmtId="2" fontId="50" fillId="0" borderId="0" xfId="1" applyFont="1"/>
    <xf numFmtId="169" fontId="1" fillId="0" borderId="0" xfId="1" applyNumberFormat="1"/>
    <xf numFmtId="2" fontId="25" fillId="0" borderId="7" xfId="1" applyFont="1" applyBorder="1" applyAlignment="1">
      <alignment horizontal="center" vertical="center"/>
    </xf>
    <xf numFmtId="1" fontId="2" fillId="0" borderId="15" xfId="1" applyNumberFormat="1" applyFont="1" applyBorder="1" applyAlignment="1">
      <alignment horizontal="center"/>
    </xf>
    <xf numFmtId="1" fontId="2" fillId="0" borderId="14" xfId="1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 wrapText="1"/>
    </xf>
    <xf numFmtId="9" fontId="38" fillId="0" borderId="0" xfId="1" applyNumberFormat="1" applyFont="1"/>
    <xf numFmtId="1" fontId="2" fillId="0" borderId="10" xfId="1" applyNumberFormat="1" applyFont="1" applyBorder="1" applyAlignment="1">
      <alignment horizontal="center"/>
    </xf>
    <xf numFmtId="2" fontId="38" fillId="0" borderId="0" xfId="1" applyFont="1"/>
    <xf numFmtId="2" fontId="51" fillId="0" borderId="6" xfId="1" applyFont="1" applyFill="1" applyBorder="1" applyAlignment="1">
      <alignment horizontal="center"/>
    </xf>
    <xf numFmtId="165" fontId="38" fillId="0" borderId="0" xfId="1" applyNumberFormat="1" applyFont="1" applyAlignment="1">
      <alignment horizontal="center"/>
    </xf>
    <xf numFmtId="2" fontId="38" fillId="0" borderId="0" xfId="1" applyFont="1" applyAlignment="1">
      <alignment horizontal="center"/>
    </xf>
    <xf numFmtId="164" fontId="0" fillId="0" borderId="0" xfId="2" applyFont="1"/>
    <xf numFmtId="164" fontId="1" fillId="0" borderId="0" xfId="1" applyNumberFormat="1"/>
    <xf numFmtId="2" fontId="25" fillId="0" borderId="5" xfId="1" applyFont="1" applyBorder="1" applyAlignment="1">
      <alignment horizontal="center"/>
    </xf>
    <xf numFmtId="1" fontId="1" fillId="0" borderId="7" xfId="1" applyNumberFormat="1" applyBorder="1"/>
    <xf numFmtId="2" fontId="1" fillId="0" borderId="5" xfId="1" applyBorder="1"/>
    <xf numFmtId="1" fontId="1" fillId="0" borderId="0" xfId="1" applyNumberFormat="1" applyBorder="1"/>
    <xf numFmtId="2" fontId="4" fillId="5" borderId="5" xfId="1" applyFont="1" applyFill="1" applyBorder="1" applyAlignment="1">
      <alignment horizontal="center"/>
    </xf>
    <xf numFmtId="1" fontId="2" fillId="0" borderId="12" xfId="1" applyNumberFormat="1" applyFont="1" applyBorder="1" applyAlignment="1">
      <alignment horizontal="center"/>
    </xf>
    <xf numFmtId="2" fontId="5" fillId="0" borderId="5" xfId="1" applyFont="1" applyBorder="1"/>
    <xf numFmtId="1" fontId="3" fillId="0" borderId="0" xfId="1" applyNumberFormat="1" applyFont="1" applyBorder="1"/>
    <xf numFmtId="2" fontId="4" fillId="0" borderId="0" xfId="1" applyFont="1" applyBorder="1" applyAlignment="1">
      <alignment horizontal="center"/>
    </xf>
    <xf numFmtId="2" fontId="52" fillId="6" borderId="3" xfId="1" applyFont="1" applyFill="1" applyBorder="1" applyAlignment="1">
      <alignment horizontal="center"/>
    </xf>
    <xf numFmtId="2" fontId="52" fillId="6" borderId="4" xfId="1" applyFont="1" applyFill="1" applyBorder="1" applyAlignment="1">
      <alignment horizontal="center"/>
    </xf>
    <xf numFmtId="2" fontId="52" fillId="6" borderId="9" xfId="1" applyFont="1" applyFill="1" applyBorder="1" applyAlignment="1">
      <alignment horizontal="center"/>
    </xf>
    <xf numFmtId="2" fontId="25" fillId="0" borderId="9" xfId="1" applyFont="1" applyBorder="1" applyAlignment="1">
      <alignment horizontal="center" vertical="center" wrapText="1"/>
    </xf>
    <xf numFmtId="2" fontId="25" fillId="0" borderId="8" xfId="1" applyFont="1" applyBorder="1" applyAlignment="1">
      <alignment horizontal="center" vertical="center"/>
    </xf>
    <xf numFmtId="1" fontId="2" fillId="0" borderId="8" xfId="1" applyNumberFormat="1" applyFont="1" applyBorder="1" applyAlignment="1">
      <alignment horizontal="center"/>
    </xf>
    <xf numFmtId="1" fontId="53" fillId="4" borderId="6" xfId="1" applyNumberFormat="1" applyFont="1" applyFill="1" applyBorder="1" applyAlignment="1">
      <alignment horizontal="center"/>
    </xf>
    <xf numFmtId="164" fontId="25" fillId="4" borderId="5" xfId="2" applyNumberFormat="1" applyFont="1" applyFill="1" applyBorder="1" applyAlignment="1">
      <alignment horizontal="center"/>
    </xf>
    <xf numFmtId="2" fontId="54" fillId="7" borderId="11" xfId="1" applyFont="1" applyFill="1" applyBorder="1" applyAlignment="1">
      <alignment horizontal="center"/>
    </xf>
    <xf numFmtId="2" fontId="54" fillId="7" borderId="13" xfId="1" applyFont="1" applyFill="1" applyBorder="1" applyAlignment="1">
      <alignment horizontal="center"/>
    </xf>
    <xf numFmtId="2" fontId="54" fillId="0" borderId="0" xfId="1" applyFont="1" applyFill="1" applyBorder="1" applyAlignment="1"/>
    <xf numFmtId="2" fontId="54" fillId="0" borderId="14" xfId="1" applyFont="1" applyFill="1" applyBorder="1" applyAlignment="1"/>
    <xf numFmtId="2" fontId="1" fillId="0" borderId="0" xfId="1" applyAlignment="1">
      <alignment horizontal="right"/>
    </xf>
    <xf numFmtId="2" fontId="4" fillId="0" borderId="7" xfId="1" applyFont="1" applyBorder="1" applyAlignment="1">
      <alignment horizontal="center"/>
    </xf>
    <xf numFmtId="2" fontId="1" fillId="0" borderId="14" xfId="1" applyBorder="1"/>
    <xf numFmtId="2" fontId="5" fillId="0" borderId="12" xfId="1" applyFont="1" applyBorder="1" applyAlignment="1">
      <alignment horizontal="center"/>
    </xf>
    <xf numFmtId="2" fontId="25" fillId="0" borderId="0" xfId="1" applyFont="1" applyFill="1" applyBorder="1" applyAlignment="1">
      <alignment horizontal="center" vertical="center"/>
    </xf>
    <xf numFmtId="2" fontId="27" fillId="0" borderId="0" xfId="1" applyFont="1" applyFill="1" applyBorder="1" applyAlignment="1">
      <alignment horizontal="center"/>
    </xf>
    <xf numFmtId="1" fontId="25" fillId="0" borderId="6" xfId="1" applyNumberFormat="1" applyFont="1" applyBorder="1" applyAlignment="1">
      <alignment horizontal="center"/>
    </xf>
    <xf numFmtId="2" fontId="1" fillId="0" borderId="0" xfId="1" applyFill="1" applyBorder="1"/>
    <xf numFmtId="164" fontId="4" fillId="0" borderId="0" xfId="2" applyNumberFormat="1" applyFont="1" applyFill="1" applyBorder="1" applyAlignment="1">
      <alignment horizontal="center"/>
    </xf>
    <xf numFmtId="1" fontId="4" fillId="0" borderId="0" xfId="3" applyNumberFormat="1" applyFont="1" applyFill="1" applyBorder="1" applyAlignment="1">
      <alignment horizontal="center"/>
    </xf>
    <xf numFmtId="9" fontId="1" fillId="0" borderId="0" xfId="1" applyNumberFormat="1"/>
    <xf numFmtId="165" fontId="1" fillId="0" borderId="0" xfId="1" applyNumberFormat="1"/>
    <xf numFmtId="164" fontId="42" fillId="3" borderId="8" xfId="2" applyNumberFormat="1" applyFont="1" applyFill="1" applyBorder="1" applyAlignment="1">
      <alignment horizontal="center"/>
    </xf>
    <xf numFmtId="164" fontId="4" fillId="3" borderId="8" xfId="2" applyNumberFormat="1" applyFont="1" applyFill="1" applyBorder="1" applyAlignment="1">
      <alignment horizontal="center"/>
    </xf>
    <xf numFmtId="1" fontId="4" fillId="0" borderId="0" xfId="3" applyNumberFormat="1" applyFont="1" applyBorder="1" applyAlignment="1">
      <alignment horizontal="center"/>
    </xf>
    <xf numFmtId="165" fontId="0" fillId="0" borderId="0" xfId="2" applyNumberFormat="1" applyFont="1"/>
    <xf numFmtId="164" fontId="4" fillId="0" borderId="2" xfId="2" applyNumberFormat="1" applyFont="1" applyBorder="1" applyAlignment="1">
      <alignment horizontal="center"/>
    </xf>
    <xf numFmtId="164" fontId="4" fillId="0" borderId="6" xfId="2" applyNumberFormat="1" applyFont="1" applyBorder="1" applyAlignment="1">
      <alignment horizontal="center"/>
    </xf>
    <xf numFmtId="2" fontId="4" fillId="5" borderId="7" xfId="1" applyFont="1" applyFill="1" applyBorder="1" applyAlignment="1">
      <alignment horizontal="center"/>
    </xf>
    <xf numFmtId="2" fontId="5" fillId="0" borderId="11" xfId="1" applyFont="1" applyBorder="1"/>
    <xf numFmtId="164" fontId="42" fillId="0" borderId="11" xfId="2" applyNumberFormat="1" applyFont="1" applyBorder="1" applyAlignment="1">
      <alignment horizontal="center"/>
    </xf>
    <xf numFmtId="164" fontId="42" fillId="0" borderId="2" xfId="2" applyNumberFormat="1" applyFont="1" applyBorder="1" applyAlignment="1">
      <alignment horizontal="center"/>
    </xf>
    <xf numFmtId="2" fontId="4" fillId="0" borderId="12" xfId="1" applyFont="1" applyBorder="1" applyAlignment="1">
      <alignment horizontal="center"/>
    </xf>
    <xf numFmtId="2" fontId="5" fillId="0" borderId="12" xfId="1" applyFont="1" applyBorder="1"/>
    <xf numFmtId="165" fontId="4" fillId="0" borderId="12" xfId="2" applyNumberFormat="1" applyFont="1" applyBorder="1" applyAlignment="1">
      <alignment horizontal="center"/>
    </xf>
    <xf numFmtId="2" fontId="25" fillId="0" borderId="7" xfId="1" applyFont="1" applyBorder="1" applyAlignment="1">
      <alignment vertical="center"/>
    </xf>
    <xf numFmtId="164" fontId="42" fillId="3" borderId="5" xfId="2" applyNumberFormat="1" applyFont="1" applyFill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2" fontId="55" fillId="7" borderId="11" xfId="1" applyFont="1" applyFill="1" applyBorder="1" applyAlignment="1">
      <alignment horizontal="center"/>
    </xf>
    <xf numFmtId="2" fontId="55" fillId="7" borderId="13" xfId="1" applyFont="1" applyFill="1" applyBorder="1" applyAlignment="1">
      <alignment horizontal="center"/>
    </xf>
    <xf numFmtId="2" fontId="55" fillId="7" borderId="15" xfId="1" applyFont="1" applyFill="1" applyBorder="1" applyAlignment="1">
      <alignment horizontal="center"/>
    </xf>
    <xf numFmtId="2" fontId="55" fillId="0" borderId="0" xfId="1" applyFont="1" applyFill="1" applyBorder="1" applyAlignment="1"/>
    <xf numFmtId="9" fontId="4" fillId="0" borderId="0" xfId="3" applyFont="1" applyFill="1" applyBorder="1" applyAlignment="1">
      <alignment horizontal="center"/>
    </xf>
    <xf numFmtId="2" fontId="4" fillId="0" borderId="3" xfId="1" applyFont="1" applyBorder="1" applyAlignment="1">
      <alignment horizontal="center"/>
    </xf>
    <xf numFmtId="2" fontId="4" fillId="0" borderId="4" xfId="1" applyFont="1" applyBorder="1" applyAlignment="1">
      <alignment horizontal="center"/>
    </xf>
    <xf numFmtId="2" fontId="4" fillId="0" borderId="9" xfId="1" applyFont="1" applyBorder="1" applyAlignment="1">
      <alignment horizontal="center"/>
    </xf>
    <xf numFmtId="2" fontId="4" fillId="0" borderId="0" xfId="1" applyFont="1" applyFill="1" applyBorder="1" applyAlignment="1"/>
    <xf numFmtId="2" fontId="25" fillId="0" borderId="5" xfId="1" applyFont="1" applyBorder="1" applyAlignment="1">
      <alignment horizontal="center" vertical="center"/>
    </xf>
    <xf numFmtId="2" fontId="25" fillId="0" borderId="3" xfId="1" applyFont="1" applyBorder="1" applyAlignment="1">
      <alignment horizontal="center" wrapText="1"/>
    </xf>
    <xf numFmtId="2" fontId="25" fillId="0" borderId="4" xfId="1" applyFont="1" applyBorder="1" applyAlignment="1">
      <alignment horizontal="center" wrapText="1"/>
    </xf>
    <xf numFmtId="2" fontId="25" fillId="0" borderId="9" xfId="1" applyFont="1" applyBorder="1" applyAlignment="1">
      <alignment horizontal="center" wrapText="1"/>
    </xf>
    <xf numFmtId="2" fontId="25" fillId="0" borderId="0" xfId="1" applyFont="1" applyFill="1" applyBorder="1" applyAlignment="1">
      <alignment wrapText="1"/>
    </xf>
    <xf numFmtId="2" fontId="25" fillId="8" borderId="3" xfId="1" applyFont="1" applyFill="1" applyBorder="1" applyAlignment="1">
      <alignment horizontal="center" vertical="center"/>
    </xf>
    <xf numFmtId="2" fontId="25" fillId="8" borderId="4" xfId="1" applyFont="1" applyFill="1" applyBorder="1" applyAlignment="1">
      <alignment horizontal="center" vertical="center"/>
    </xf>
    <xf numFmtId="2" fontId="25" fillId="8" borderId="9" xfId="1" applyFont="1" applyFill="1" applyBorder="1" applyAlignment="1">
      <alignment horizontal="center" vertical="center"/>
    </xf>
    <xf numFmtId="2" fontId="25" fillId="0" borderId="0" xfId="1" applyFont="1" applyFill="1" applyBorder="1" applyAlignment="1">
      <alignment vertical="center"/>
    </xf>
    <xf numFmtId="2" fontId="25" fillId="7" borderId="3" xfId="1" applyFont="1" applyFill="1" applyBorder="1" applyAlignment="1">
      <alignment horizontal="center" vertical="center"/>
    </xf>
    <xf numFmtId="2" fontId="25" fillId="7" borderId="4" xfId="1" applyFont="1" applyFill="1" applyBorder="1" applyAlignment="1">
      <alignment horizontal="center" vertical="center"/>
    </xf>
    <xf numFmtId="2" fontId="25" fillId="2" borderId="3" xfId="1" applyFont="1" applyFill="1" applyBorder="1" applyAlignment="1">
      <alignment horizontal="center" vertical="center"/>
    </xf>
    <xf numFmtId="2" fontId="25" fillId="2" borderId="9" xfId="1" applyFont="1" applyFill="1" applyBorder="1" applyAlignment="1">
      <alignment horizontal="center" vertical="center"/>
    </xf>
    <xf numFmtId="2" fontId="27" fillId="0" borderId="3" xfId="1" applyFont="1" applyBorder="1" applyAlignment="1">
      <alignment horizontal="center"/>
    </xf>
    <xf numFmtId="2" fontId="27" fillId="0" borderId="16" xfId="1" applyFont="1" applyBorder="1" applyAlignment="1">
      <alignment horizontal="center"/>
    </xf>
    <xf numFmtId="2" fontId="27" fillId="0" borderId="0" xfId="1" applyFont="1" applyFill="1" applyBorder="1" applyAlignment="1"/>
    <xf numFmtId="164" fontId="4" fillId="3" borderId="5" xfId="2" applyNumberFormat="1" applyFont="1" applyFill="1" applyBorder="1" applyAlignment="1">
      <alignment horizontal="center"/>
    </xf>
    <xf numFmtId="1" fontId="1" fillId="0" borderId="0" xfId="1" applyNumberFormat="1"/>
    <xf numFmtId="2" fontId="31" fillId="0" borderId="0" xfId="1" applyFont="1"/>
    <xf numFmtId="9" fontId="0" fillId="0" borderId="0" xfId="3" applyFont="1"/>
    <xf numFmtId="10" fontId="1" fillId="0" borderId="0" xfId="1" applyNumberFormat="1"/>
    <xf numFmtId="2" fontId="4" fillId="0" borderId="0" xfId="1" applyFont="1" applyBorder="1" applyAlignment="1"/>
    <xf numFmtId="2" fontId="4" fillId="0" borderId="14" xfId="1" applyFont="1" applyBorder="1" applyAlignment="1"/>
    <xf numFmtId="2" fontId="25" fillId="0" borderId="0" xfId="1" applyFont="1" applyFill="1" applyBorder="1" applyAlignment="1">
      <alignment horizontal="center" wrapText="1"/>
    </xf>
    <xf numFmtId="2" fontId="25" fillId="0" borderId="3" xfId="1" applyFont="1" applyBorder="1" applyAlignment="1">
      <alignment horizontal="left" wrapText="1"/>
    </xf>
    <xf numFmtId="2" fontId="25" fillId="0" borderId="4" xfId="1" applyFont="1" applyBorder="1" applyAlignment="1">
      <alignment horizontal="left" wrapText="1"/>
    </xf>
    <xf numFmtId="2" fontId="25" fillId="0" borderId="9" xfId="1" applyFont="1" applyBorder="1" applyAlignment="1">
      <alignment horizontal="left" wrapText="1"/>
    </xf>
    <xf numFmtId="1" fontId="3" fillId="0" borderId="6" xfId="1" applyNumberFormat="1" applyFont="1" applyBorder="1"/>
    <xf numFmtId="2" fontId="5" fillId="0" borderId="2" xfId="1" applyFont="1" applyFill="1" applyBorder="1"/>
    <xf numFmtId="2" fontId="54" fillId="2" borderId="3" xfId="1" applyFont="1" applyFill="1" applyBorder="1" applyAlignment="1">
      <alignment horizontal="center"/>
    </xf>
    <xf numFmtId="2" fontId="54" fillId="2" borderId="4" xfId="1" applyFont="1" applyFill="1" applyBorder="1" applyAlignment="1">
      <alignment horizontal="center"/>
    </xf>
    <xf numFmtId="14" fontId="55" fillId="2" borderId="9" xfId="1" applyNumberFormat="1" applyFont="1" applyFill="1" applyBorder="1" applyAlignment="1"/>
    <xf numFmtId="1" fontId="4" fillId="0" borderId="10" xfId="1" applyNumberFormat="1" applyFont="1" applyBorder="1" applyAlignment="1">
      <alignment horizontal="center"/>
    </xf>
    <xf numFmtId="1" fontId="4" fillId="0" borderId="8" xfId="1" applyNumberFormat="1" applyFont="1" applyBorder="1" applyAlignment="1">
      <alignment horizontal="center"/>
    </xf>
    <xf numFmtId="2" fontId="55" fillId="0" borderId="3" xfId="1" applyFont="1" applyBorder="1" applyAlignment="1">
      <alignment horizontal="center"/>
    </xf>
    <xf numFmtId="2" fontId="55" fillId="0" borderId="4" xfId="1" applyFont="1" applyBorder="1" applyAlignment="1">
      <alignment horizontal="center"/>
    </xf>
    <xf numFmtId="2" fontId="55" fillId="0" borderId="9" xfId="1" applyFont="1" applyBorder="1" applyAlignment="1">
      <alignment horizontal="center"/>
    </xf>
    <xf numFmtId="2" fontId="55" fillId="0" borderId="3" xfId="1" applyFont="1" applyBorder="1" applyAlignment="1">
      <alignment horizontal="center" vertical="center" wrapText="1"/>
    </xf>
    <xf numFmtId="2" fontId="55" fillId="0" borderId="5" xfId="1" applyFont="1" applyBorder="1" applyAlignment="1">
      <alignment horizontal="center" vertical="center" wrapText="1"/>
    </xf>
    <xf numFmtId="2" fontId="55" fillId="0" borderId="0" xfId="1" applyFont="1" applyBorder="1" applyAlignment="1">
      <alignment vertical="center" wrapText="1"/>
    </xf>
    <xf numFmtId="14" fontId="55" fillId="0" borderId="0" xfId="1" applyNumberFormat="1" applyFont="1" applyBorder="1" applyAlignment="1"/>
    <xf numFmtId="1" fontId="4" fillId="0" borderId="9" xfId="1" applyNumberFormat="1" applyFont="1" applyBorder="1" applyAlignment="1">
      <alignment horizontal="center"/>
    </xf>
    <xf numFmtId="1" fontId="4" fillId="0" borderId="5" xfId="1" applyNumberFormat="1" applyFont="1" applyBorder="1" applyAlignment="1">
      <alignment horizontal="center"/>
    </xf>
    <xf numFmtId="164" fontId="4" fillId="0" borderId="2" xfId="2" applyNumberFormat="1" applyFont="1" applyFill="1" applyBorder="1" applyAlignment="1">
      <alignment horizontal="center"/>
    </xf>
    <xf numFmtId="2" fontId="4" fillId="0" borderId="8" xfId="1" applyNumberFormat="1" applyFont="1" applyBorder="1" applyAlignment="1">
      <alignment horizontal="right"/>
    </xf>
    <xf numFmtId="2" fontId="57" fillId="0" borderId="0" xfId="1" applyFont="1"/>
    <xf numFmtId="2" fontId="57" fillId="0" borderId="0" xfId="1" applyFont="1" applyAlignment="1">
      <alignment horizontal="center"/>
    </xf>
    <xf numFmtId="2" fontId="1" fillId="0" borderId="0" xfId="1" applyAlignment="1">
      <alignment horizontal="center"/>
    </xf>
    <xf numFmtId="2" fontId="25" fillId="0" borderId="11" xfId="1" applyFont="1" applyBorder="1" applyAlignment="1">
      <alignment horizontal="left" wrapText="1"/>
    </xf>
    <xf numFmtId="2" fontId="25" fillId="0" borderId="13" xfId="1" applyFont="1" applyBorder="1" applyAlignment="1">
      <alignment horizontal="left" wrapText="1"/>
    </xf>
    <xf numFmtId="2" fontId="25" fillId="0" borderId="15" xfId="1" applyFont="1" applyBorder="1" applyAlignment="1">
      <alignment horizontal="left" wrapText="1"/>
    </xf>
    <xf numFmtId="2" fontId="59" fillId="0" borderId="3" xfId="1" applyFont="1" applyBorder="1" applyAlignment="1">
      <alignment horizontal="left" wrapText="1"/>
    </xf>
    <xf numFmtId="2" fontId="59" fillId="0" borderId="9" xfId="1" applyFont="1" applyBorder="1" applyAlignment="1">
      <alignment horizontal="left" wrapText="1"/>
    </xf>
    <xf numFmtId="165" fontId="4" fillId="0" borderId="0" xfId="2" applyNumberFormat="1" applyFont="1" applyBorder="1" applyAlignment="1">
      <alignment horizontal="center"/>
    </xf>
    <xf numFmtId="169" fontId="4" fillId="0" borderId="0" xfId="1" applyNumberFormat="1" applyFont="1" applyBorder="1" applyAlignment="1">
      <alignment horizontal="center"/>
    </xf>
    <xf numFmtId="9" fontId="44" fillId="0" borderId="0" xfId="3" applyFont="1" applyBorder="1" applyAlignment="1">
      <alignment horizontal="left"/>
    </xf>
    <xf numFmtId="2" fontId="45" fillId="0" borderId="12" xfId="1" applyFont="1" applyBorder="1" applyAlignment="1">
      <alignment vertical="top"/>
    </xf>
    <xf numFmtId="2" fontId="1" fillId="0" borderId="1" xfId="1" applyBorder="1"/>
    <xf numFmtId="2" fontId="25" fillId="0" borderId="10" xfId="1" applyFont="1" applyBorder="1"/>
    <xf numFmtId="2" fontId="45" fillId="0" borderId="12" xfId="1" applyFont="1" applyBorder="1"/>
    <xf numFmtId="2" fontId="25" fillId="0" borderId="11" xfId="1" applyFont="1" applyBorder="1"/>
    <xf numFmtId="2" fontId="25" fillId="0" borderId="13" xfId="1" applyFont="1" applyBorder="1"/>
    <xf numFmtId="2" fontId="25" fillId="0" borderId="15" xfId="1" applyFont="1" applyBorder="1"/>
    <xf numFmtId="2" fontId="59" fillId="0" borderId="11" xfId="1" applyFont="1" applyBorder="1" applyAlignment="1">
      <alignment horizontal="left" wrapText="1"/>
    </xf>
    <xf numFmtId="2" fontId="59" fillId="0" borderId="15" xfId="1" applyFont="1" applyBorder="1" applyAlignment="1">
      <alignment horizontal="left" wrapText="1"/>
    </xf>
    <xf numFmtId="164" fontId="4" fillId="0" borderId="11" xfId="1" applyNumberFormat="1" applyFont="1" applyFill="1" applyBorder="1" applyAlignment="1">
      <alignment horizontal="center"/>
    </xf>
    <xf numFmtId="2" fontId="4" fillId="0" borderId="2" xfId="1" applyNumberFormat="1" applyFont="1" applyBorder="1" applyAlignment="1">
      <alignment horizontal="right"/>
    </xf>
    <xf numFmtId="165" fontId="4" fillId="0" borderId="0" xfId="2" applyNumberFormat="1" applyFont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2" fontId="60" fillId="0" borderId="12" xfId="1" applyFont="1" applyBorder="1" applyAlignment="1">
      <alignment horizontal="left" vertical="top"/>
    </xf>
    <xf numFmtId="2" fontId="60" fillId="0" borderId="1" xfId="1" applyFont="1" applyBorder="1" applyAlignment="1">
      <alignment horizontal="left" vertical="top"/>
    </xf>
    <xf numFmtId="2" fontId="60" fillId="0" borderId="10" xfId="1" applyFont="1" applyBorder="1" applyAlignment="1">
      <alignment horizontal="left" vertical="top"/>
    </xf>
    <xf numFmtId="2" fontId="59" fillId="0" borderId="12" xfId="1" applyFont="1" applyBorder="1" applyAlignment="1">
      <alignment horizontal="left" wrapText="1"/>
    </xf>
    <xf numFmtId="2" fontId="59" fillId="0" borderId="10" xfId="1" applyFont="1" applyBorder="1" applyAlignment="1">
      <alignment horizontal="left" wrapText="1"/>
    </xf>
    <xf numFmtId="164" fontId="4" fillId="0" borderId="12" xfId="2" applyNumberFormat="1" applyFont="1" applyFill="1" applyBorder="1" applyAlignment="1">
      <alignment horizontal="center"/>
    </xf>
    <xf numFmtId="1" fontId="4" fillId="0" borderId="5" xfId="1" applyNumberFormat="1" applyFont="1" applyFill="1" applyBorder="1" applyAlignment="1">
      <alignment horizontal="center"/>
    </xf>
    <xf numFmtId="169" fontId="4" fillId="0" borderId="0" xfId="1" applyNumberFormat="1" applyFont="1" applyFill="1" applyBorder="1" applyAlignment="1">
      <alignment horizontal="center"/>
    </xf>
    <xf numFmtId="2" fontId="4" fillId="0" borderId="12" xfId="1" applyFont="1" applyBorder="1" applyAlignment="1">
      <alignment horizontal="left"/>
    </xf>
    <xf numFmtId="2" fontId="25" fillId="0" borderId="1" xfId="1" applyFont="1" applyBorder="1"/>
    <xf numFmtId="164" fontId="4" fillId="0" borderId="8" xfId="2" applyNumberFormat="1" applyFont="1" applyFill="1" applyBorder="1" applyAlignment="1">
      <alignment horizontal="center"/>
    </xf>
    <xf numFmtId="2" fontId="60" fillId="0" borderId="11" xfId="1" applyFont="1" applyBorder="1" applyAlignment="1">
      <alignment horizontal="left" vertical="top"/>
    </xf>
    <xf numFmtId="2" fontId="60" fillId="0" borderId="13" xfId="1" applyFont="1" applyBorder="1" applyAlignment="1">
      <alignment horizontal="left" vertical="top"/>
    </xf>
    <xf numFmtId="2" fontId="60" fillId="0" borderId="15" xfId="1" applyFont="1" applyBorder="1" applyAlignment="1">
      <alignment horizontal="left" vertical="top"/>
    </xf>
    <xf numFmtId="2" fontId="25" fillId="0" borderId="11" xfId="1" applyFont="1" applyBorder="1" applyAlignment="1"/>
    <xf numFmtId="2" fontId="25" fillId="0" borderId="13" xfId="1" applyFont="1" applyBorder="1" applyAlignment="1"/>
    <xf numFmtId="2" fontId="25" fillId="0" borderId="15" xfId="1" applyFont="1" applyBorder="1" applyAlignment="1">
      <alignment horizontal="right"/>
    </xf>
    <xf numFmtId="164" fontId="4" fillId="0" borderId="2" xfId="1" applyNumberFormat="1" applyFont="1" applyFill="1" applyBorder="1" applyAlignment="1">
      <alignment horizontal="center"/>
    </xf>
    <xf numFmtId="2" fontId="4" fillId="0" borderId="2" xfId="1" applyNumberFormat="1" applyFont="1" applyBorder="1" applyAlignment="1">
      <alignment horizontal="right"/>
    </xf>
    <xf numFmtId="2" fontId="60" fillId="0" borderId="1" xfId="1" applyFont="1" applyBorder="1" applyAlignment="1">
      <alignment vertical="top"/>
    </xf>
    <xf numFmtId="2" fontId="1" fillId="0" borderId="10" xfId="1" applyBorder="1" applyAlignment="1">
      <alignment vertical="top"/>
    </xf>
    <xf numFmtId="2" fontId="4" fillId="0" borderId="8" xfId="1" applyNumberFormat="1" applyFont="1" applyBorder="1" applyAlignment="1">
      <alignment horizontal="right"/>
    </xf>
    <xf numFmtId="2" fontId="25" fillId="0" borderId="12" xfId="1" applyFont="1" applyBorder="1"/>
    <xf numFmtId="2" fontId="25" fillId="0" borderId="7" xfId="1" applyFont="1" applyBorder="1"/>
    <xf numFmtId="2" fontId="25" fillId="0" borderId="0" xfId="1" applyFont="1" applyBorder="1"/>
    <xf numFmtId="2" fontId="25" fillId="0" borderId="14" xfId="1" applyFont="1" applyBorder="1"/>
    <xf numFmtId="1" fontId="44" fillId="0" borderId="0" xfId="1" applyNumberFormat="1" applyFont="1" applyFill="1" applyBorder="1"/>
    <xf numFmtId="2" fontId="25" fillId="0" borderId="3" xfId="1" applyFont="1" applyBorder="1"/>
    <xf numFmtId="2" fontId="25" fillId="0" borderId="4" xfId="1" applyFont="1" applyBorder="1"/>
    <xf numFmtId="2" fontId="25" fillId="0" borderId="9" xfId="1" applyFont="1" applyBorder="1"/>
    <xf numFmtId="2" fontId="1" fillId="0" borderId="4" xfId="1" applyBorder="1"/>
    <xf numFmtId="164" fontId="4" fillId="0" borderId="5" xfId="2" applyNumberFormat="1" applyFont="1" applyFill="1" applyBorder="1" applyAlignment="1">
      <alignment horizontal="center"/>
    </xf>
    <xf numFmtId="165" fontId="4" fillId="0" borderId="0" xfId="2" applyNumberFormat="1" applyFont="1" applyBorder="1" applyAlignment="1">
      <alignment horizontal="right"/>
    </xf>
    <xf numFmtId="2" fontId="25" fillId="0" borderId="3" xfId="1" applyFont="1" applyFill="1" applyBorder="1" applyAlignment="1">
      <alignment horizontal="left" wrapText="1"/>
    </xf>
    <xf numFmtId="2" fontId="25" fillId="0" borderId="4" xfId="1" applyFont="1" applyFill="1" applyBorder="1" applyAlignment="1">
      <alignment horizontal="left" wrapText="1"/>
    </xf>
    <xf numFmtId="2" fontId="25" fillId="0" borderId="9" xfId="1" applyFont="1" applyFill="1" applyBorder="1" applyAlignment="1">
      <alignment horizontal="left" wrapText="1"/>
    </xf>
    <xf numFmtId="2" fontId="25" fillId="0" borderId="11" xfId="1" applyFont="1" applyFill="1" applyBorder="1"/>
    <xf numFmtId="2" fontId="3" fillId="0" borderId="13" xfId="1" applyFont="1" applyBorder="1"/>
    <xf numFmtId="2" fontId="3" fillId="0" borderId="15" xfId="1" applyFont="1" applyBorder="1"/>
    <xf numFmtId="2" fontId="25" fillId="0" borderId="12" xfId="1" applyFont="1" applyFill="1" applyBorder="1"/>
    <xf numFmtId="2" fontId="3" fillId="0" borderId="1" xfId="1" applyFont="1" applyBorder="1"/>
    <xf numFmtId="2" fontId="3" fillId="0" borderId="10" xfId="1" applyFont="1" applyBorder="1"/>
    <xf numFmtId="2" fontId="3" fillId="0" borderId="3" xfId="1" applyFont="1" applyBorder="1"/>
    <xf numFmtId="2" fontId="3" fillId="0" borderId="4" xfId="1" applyFont="1" applyBorder="1"/>
    <xf numFmtId="2" fontId="4" fillId="0" borderId="9" xfId="1" applyFont="1" applyFill="1" applyBorder="1"/>
    <xf numFmtId="2" fontId="25" fillId="0" borderId="3" xfId="1" applyFont="1" applyFill="1" applyBorder="1"/>
    <xf numFmtId="2" fontId="3" fillId="0" borderId="9" xfId="1" applyFont="1" applyBorder="1"/>
    <xf numFmtId="2" fontId="3" fillId="0" borderId="11" xfId="1" applyFont="1" applyBorder="1"/>
    <xf numFmtId="2" fontId="4" fillId="0" borderId="9" xfId="1" applyFont="1" applyFill="1" applyBorder="1" applyAlignment="1">
      <alignment horizontal="left"/>
    </xf>
    <xf numFmtId="2" fontId="4" fillId="0" borderId="15" xfId="1" applyFont="1" applyFill="1" applyBorder="1"/>
    <xf numFmtId="2" fontId="3" fillId="0" borderId="12" xfId="1" applyFont="1" applyBorder="1"/>
    <xf numFmtId="2" fontId="4" fillId="0" borderId="10" xfId="1" applyFont="1" applyFill="1" applyBorder="1"/>
    <xf numFmtId="1" fontId="4" fillId="0" borderId="2" xfId="1" applyNumberFormat="1" applyFont="1" applyBorder="1" applyAlignment="1">
      <alignment horizontal="center"/>
    </xf>
    <xf numFmtId="2" fontId="3" fillId="0" borderId="5" xfId="1" applyFont="1" applyBorder="1"/>
    <xf numFmtId="2" fontId="3" fillId="0" borderId="2" xfId="1" applyFont="1" applyBorder="1"/>
    <xf numFmtId="2" fontId="1" fillId="0" borderId="9" xfId="1" applyBorder="1"/>
    <xf numFmtId="1" fontId="4" fillId="0" borderId="6" xfId="1" applyNumberFormat="1" applyFont="1" applyBorder="1" applyAlignment="1">
      <alignment horizontal="center"/>
    </xf>
    <xf numFmtId="1" fontId="4" fillId="0" borderId="6" xfId="1" applyNumberFormat="1" applyFont="1" applyFill="1" applyBorder="1" applyAlignment="1">
      <alignment horizontal="center"/>
    </xf>
    <xf numFmtId="170" fontId="4" fillId="0" borderId="0" xfId="2" applyNumberFormat="1" applyFont="1" applyFill="1" applyBorder="1" applyAlignment="1">
      <alignment horizontal="center"/>
    </xf>
    <xf numFmtId="171" fontId="4" fillId="0" borderId="0" xfId="2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2" fontId="61" fillId="0" borderId="0" xfId="1" applyFont="1"/>
  </cellXfs>
  <cellStyles count="4">
    <cellStyle name="Обычный" xfId="0" builtinId="0"/>
    <cellStyle name="Обычный 2" xfId="1"/>
    <cellStyle name="Процентный 2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on3\Documents\&#1069;&#1082;&#1086;&#1085;&#1086;&#1084;&#1080;&#1082;&#1072;\&#1069;&#1082;&#1086;&#1085;&#1086;&#1084;&#1080;&#1082;&#1072;%202026\&#1069;&#1082;&#1086;&#1085;&#1086;&#1084;&#1080;&#1082;&#1072;%20&#1080;&#1079;&#1084;\&#1069;&#1082;&#1086;&#1085;&#1086;&#1084;&#1080;&#1082;&#1072;%20&#1076;-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евно оцилиндр"/>
      <sheetName val="Услуги по оцилиндр."/>
      <sheetName val="Услуги по оцилиндр. с зарезкой "/>
      <sheetName val="БЕСЕДКА из оцилиндрОрленок"/>
      <sheetName val="Расчет  цеховых,общехоз.расх."/>
      <sheetName val="Норма расхода"/>
      <sheetName val="Тарифные ставки х.р."/>
      <sheetName val="Зарплата по цеху"/>
      <sheetName val="Приказ х-т"/>
      <sheetName val="Приказ х-т(изм по цеху)"/>
      <sheetName val=" Приказ(общий,б-т)"/>
      <sheetName val="расшифр. цех и общех расх"/>
      <sheetName val="Щиты заб из кола распил вдоль"/>
      <sheetName val="К пиломатер (пер. цен) до 2м."/>
      <sheetName val="К пил.(тв.лист.)Молодечно фрскл"/>
      <sheetName val="К пил.(тв.лист.)Мол лес на бирж"/>
      <sheetName val="К пил-лы (тв.лист.) фр-вагон"/>
      <sheetName val="К пил-лы (тв.лист.) фр-склад"/>
      <sheetName val="Заготовки досковые ГЕАЛПА"/>
      <sheetName val="цены по фирмам"/>
      <sheetName val="К ПИЛОМАТЕРИАЛЫ Франко-вагон"/>
      <sheetName val="К ПИЛОМАТЕРИАЛЫ Экспорт ДАФ"/>
      <sheetName val="К ПИЛОМАТЕРИАЛЫ фр-в ст.назн."/>
      <sheetName val="Калькуляция на торцовку"/>
      <sheetName val="Расценка на ОВД по дог-ру"/>
      <sheetName val="Калькуляции ПМ Лесорамы"/>
      <sheetName val="Калькуляции ПМ Ленточки"/>
      <sheetName val="Калькуляции ПМ Ленточкибереза"/>
      <sheetName val="Калькуляции ПМ Польская"/>
      <sheetName val="Калькуляции ПМ OWD"/>
      <sheetName val="Калькуляции ПМ МЕВOR (VR-800)"/>
      <sheetName val="Кальк.новый МЕВОR"/>
      <sheetName val="Калькуляции ПМ ЛенточкиШПАЛЫ"/>
      <sheetName val="Калькуляции СВОД по станкам"/>
      <sheetName val="Кальк.СВОДпо станкам(с доставко"/>
      <sheetName val="Калькуляция плановая ПМ"/>
      <sheetName val="Калькуляция"/>
      <sheetName val="Калькуляции Молодечно"/>
      <sheetName val="Калькуляции ПМ Ленточки услуги"/>
      <sheetName val="К ПИЛОМАТЕРИАЛЫ фр.-скл."/>
      <sheetName val="К ПИЛОМАТ фр.-скл.для расч"/>
      <sheetName val="К ПИЛОМАТ-ЛЫ фр.-скл.строган."/>
      <sheetName val="К ПИЛОМАТ-ЛЫ фр.-скл.сухие"/>
      <sheetName val="Прейскурант на Быстрице"/>
      <sheetName val="К ПИЛОМАТ-ЛЫ фр.-скл.строгаэксп"/>
      <sheetName val="Плановые калькул по погонажным"/>
      <sheetName val="Для УП&quot;Беллесэ-т&quot;"/>
      <sheetName val="Обш 16мм  фр-скл Беллесэксп"/>
      <sheetName val="Обшивка 16мм "/>
      <sheetName val="ДП-27,35"/>
      <sheetName val="ДП-27,35ПРОПИТ"/>
      <sheetName val="Блок-хаус"/>
      <sheetName val=" Обшивка 1680 "/>
      <sheetName val=" БлокХаус"/>
      <sheetName val="ДП 2780"/>
      <sheetName val="ДП 3580"/>
      <sheetName val="Плинтус"/>
      <sheetName val="Наличник"/>
      <sheetName val="Штакетник"/>
      <sheetName val="Кол кальк.8-11"/>
      <sheetName val="Столбы кальк.10-13 ВР "/>
      <sheetName val="Кол кальк.8-11 дог ВР"/>
      <sheetName val="Штакетник млиств."/>
      <sheetName val="Штакетник Хв."/>
      <sheetName val="Щиты 2021Блокхаус"/>
      <sheetName val="Щиты 2023 Строг 0,03"/>
      <sheetName val="Щиты 2022 Строг 0,022"/>
      <sheetName val="Щиты 2022 Строг0,018"/>
      <sheetName val="К шпалы из Витебска"/>
      <sheetName val="К шпалы прямой договор"/>
      <sheetName val="К (шпалы)тип 1 и2 прав."/>
      <sheetName val="К пиломатериалы (шпалы) на 2014"/>
      <sheetName val="К пиломатериалы (шпалы)"/>
      <sheetName val="Щиты заборные"/>
      <sheetName val="Пролёт декорат."/>
      <sheetName val="Щиты заборные строг."/>
      <sheetName val="К ящик для капусты (расч)"/>
      <sheetName val="Ящик для сеянцев экспорт"/>
      <sheetName val="Ящик Полесье"/>
      <sheetName val="К конт. для овощей(Батчи)"/>
      <sheetName val="Контейнер для картофеля"/>
      <sheetName val=" Контейнер по договору"/>
      <sheetName val="Ящик для капусты АгроКобринское"/>
      <sheetName val="К поддон тип 1"/>
      <sheetName val="К поддон тип ОАО &quot;СветлогорскХи"/>
      <sheetName val="Крышки к поддонамОАО &quot;Светлогор"/>
      <sheetName val="К поддон тип 1 для Вудборн"/>
      <sheetName val="Щиты ООО Форте"/>
      <sheetName val="К под Кварцмелпром"/>
      <sheetName val="К поддон на Минск"/>
      <sheetName val="К поддон тип 1услуги"/>
      <sheetName val="К поддон  (БУМ) (2)"/>
      <sheetName val="К поддон тип 1 (БУМ)"/>
      <sheetName val="К поддон тип 2а"/>
      <sheetName val="К поддон тип 2В"/>
      <sheetName val="К поддон тип 2Б"/>
      <sheetName val="К поддон тип 3"/>
      <sheetName val="К поддон тип 2Б (Агроспецторг)"/>
      <sheetName val="К поддон тип 2Б (Агроспецто (2)"/>
      <sheetName val="К полка для продуктов"/>
      <sheetName val="К европоддон "/>
      <sheetName val="К европоддон ЛАКОКРАСКА"/>
      <sheetName val="Калькуляция население"/>
      <sheetName val="К поддон для дров"/>
      <sheetName val="К поддон для кирпича"/>
      <sheetName val="К поддон (плитка)"/>
      <sheetName val="К поддон Надзея ХВ"/>
      <sheetName val="К поддон Надзея МЛ"/>
      <sheetName val="Щит для стрельбы из лука"/>
      <sheetName val="Ящик под гвозди"/>
      <sheetName val="Ящик под мусор"/>
      <sheetName val="Колья  для с-х вн. р."/>
      <sheetName val="Колья  для с-х вн. р. распил."/>
      <sheetName val="Щиты заб.из кол расп"/>
      <sheetName val="К  сруба"/>
      <sheetName val="БЕСЕДКИ ЯРМАРКА2021"/>
      <sheetName val="БЕСЕДКИ ЯРМАРКА"/>
      <sheetName val="БЕСЕДКАБолота2011"/>
      <sheetName val="БЕСЕДКА2012Минск"/>
      <sheetName val="БЕСЕДКА2013"/>
      <sheetName val="БЕСЕДКА2014"/>
      <sheetName val="БЕСЕДКА2015"/>
      <sheetName val="Беседка губернатору"/>
      <sheetName val="Стенд для обр. прод."/>
      <sheetName val="Стеллаж ступенчатый"/>
      <sheetName val="БЕСЕДКИ"/>
      <sheetName val="Кадки для цветов"/>
      <sheetName val="Подставка для цветов"/>
      <sheetName val="Щиты заборные из БлокХауса"/>
      <sheetName val="Калькуляция на скворечники"/>
      <sheetName val="Навес на РИК"/>
      <sheetName val="Площадка для выставки"/>
      <sheetName val="Крестов.клетка,ящик под нов.ель"/>
      <sheetName val="Ручки к молоткам,топорищ мал"/>
      <sheetName val="Прайс"/>
      <sheetName val="Прейск.на прод.д-о нас.120126"/>
      <sheetName val="Прайс на профильные"/>
      <sheetName val="Цены на д-о на усл.фр-вагон"/>
      <sheetName val="Цены на д-о фр-скл Молодечно"/>
      <sheetName val="К ПИЛОМАТ фр-скл "/>
      <sheetName val="Расчёт на Молодечно"/>
      <sheetName val="Прейскурант на прод.д-о"/>
      <sheetName val="Прейскурант на прод.д-о деном"/>
      <sheetName val="Прейскурант на Пинск"/>
      <sheetName val="Отчет по ценам"/>
      <sheetName val="Минимальные цены Смех"/>
      <sheetName val="Мин.цены деном факт"/>
      <sheetName val="Мин.цены деном план"/>
      <sheetName val="Щиты из БлокХауса"/>
      <sheetName val="Щиты заборные из строганного ПМ"/>
      <sheetName val="уровень дог. цен на хв. пм"/>
      <sheetName val="Калькуляции ПМ Ленточки на услу"/>
      <sheetName val="Калькуляции ПМпокуп. Елка"/>
      <sheetName val="Смета по агОса"/>
      <sheetName val="Щиты заборные из стр"/>
      <sheetName val="Мин.цены деном (2)"/>
      <sheetName val="Калькуляции ПМ Ленточки услуги1"/>
      <sheetName val="Договорные цены"/>
      <sheetName val="Кальк на поддоны под пелл1-1"/>
      <sheetName val="Кальки на поддоны под пел 2.40-"/>
      <sheetName val="Мин.цены  факт насел"/>
      <sheetName val="Ящик для сеянцев"/>
      <sheetName val="Подставка для экспонатов"/>
      <sheetName val="Договорные ценыДля биржи"/>
      <sheetName val="Кальк.новый МЕВОR (2)"/>
      <sheetName val="Туалет"/>
      <sheetName val="Туалет (2)"/>
      <sheetName val="Туалет цех"/>
      <sheetName val="Скамейки"/>
      <sheetName val="Стол"/>
      <sheetName val="Щиты"/>
      <sheetName val="Щиты 2024 0,03"/>
      <sheetName val="На Брест"/>
      <sheetName val="Пиломат. обр. сухой"/>
      <sheetName val="БЕСЕДКА из оцилиндр."/>
      <sheetName val="БЕСЕДКА из оцилиндр.2"/>
      <sheetName val="БЕСЕДКА из оцилиндрДепарт"/>
      <sheetName val="Себестоимость продукции"/>
      <sheetName val="Прейскурант на прод.д-оБюджетны"/>
      <sheetName val="Прейскурант на прод.д-о нас (2"/>
      <sheetName val="Калькуляции СВОД по станкам Бур"/>
      <sheetName val="Строг. ПМ твлиств"/>
      <sheetName val="Калькуляции ПМ Рама листва Сумо"/>
      <sheetName val="Калькуляции СВОД по станкам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49">
          <cell r="V449">
            <v>655.994535082384</v>
          </cell>
          <cell r="W449">
            <v>435.84224537725152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B267"/>
  <sheetViews>
    <sheetView tabSelected="1" view="pageBreakPreview" topLeftCell="A205" zoomScale="60" zoomScaleNormal="100" workbookViewId="0">
      <selection activeCell="AJ213" sqref="AJ213"/>
    </sheetView>
  </sheetViews>
  <sheetFormatPr defaultRowHeight="12.75" x14ac:dyDescent="0.2"/>
  <cols>
    <col min="1" max="1" width="18.42578125" style="4" customWidth="1"/>
    <col min="2" max="2" width="19.140625" style="4" customWidth="1"/>
    <col min="3" max="3" width="30.5703125" style="4" customWidth="1"/>
    <col min="4" max="4" width="25.5703125" style="4" customWidth="1"/>
    <col min="5" max="5" width="21.85546875" style="4" customWidth="1"/>
    <col min="6" max="6" width="22.28515625" style="4" customWidth="1"/>
    <col min="7" max="7" width="20.7109375" style="4" customWidth="1"/>
    <col min="8" max="8" width="18" style="4" hidden="1" customWidth="1"/>
    <col min="9" max="9" width="14.28515625" style="4" hidden="1" customWidth="1"/>
    <col min="10" max="10" width="19.140625" style="4" hidden="1" customWidth="1"/>
    <col min="11" max="11" width="16.42578125" style="4" hidden="1" customWidth="1"/>
    <col min="12" max="14" width="20" style="4" hidden="1" customWidth="1"/>
    <col min="15" max="15" width="11.5703125" style="4" hidden="1" customWidth="1"/>
    <col min="16" max="16" width="8.140625" style="4" hidden="1" customWidth="1"/>
    <col min="17" max="17" width="21.7109375" style="4" hidden="1" customWidth="1"/>
    <col min="18" max="18" width="9.42578125" style="4" hidden="1" customWidth="1"/>
    <col min="19" max="19" width="17.140625" style="4" hidden="1" customWidth="1"/>
    <col min="20" max="20" width="17.7109375" style="4" hidden="1" customWidth="1"/>
    <col min="21" max="21" width="21.85546875" style="4" hidden="1" customWidth="1"/>
    <col min="22" max="22" width="19.85546875" style="4" hidden="1" customWidth="1"/>
    <col min="23" max="23" width="39.7109375" style="4" hidden="1" customWidth="1"/>
    <col min="24" max="24" width="23.140625" style="4" hidden="1" customWidth="1"/>
    <col min="25" max="25" width="10.7109375" style="4" hidden="1" customWidth="1"/>
    <col min="26" max="26" width="14.7109375" style="4" hidden="1" customWidth="1"/>
    <col min="27" max="27" width="10.140625" style="4" hidden="1" customWidth="1"/>
    <col min="28" max="28" width="0" style="4" hidden="1" customWidth="1"/>
    <col min="29" max="256" width="9.140625" style="4"/>
    <col min="257" max="257" width="18.42578125" style="4" customWidth="1"/>
    <col min="258" max="258" width="19.140625" style="4" customWidth="1"/>
    <col min="259" max="259" width="30.5703125" style="4" customWidth="1"/>
    <col min="260" max="260" width="25.5703125" style="4" customWidth="1"/>
    <col min="261" max="261" width="21.85546875" style="4" customWidth="1"/>
    <col min="262" max="262" width="22.28515625" style="4" customWidth="1"/>
    <col min="263" max="263" width="20.7109375" style="4" customWidth="1"/>
    <col min="264" max="264" width="18" style="4" customWidth="1"/>
    <col min="265" max="265" width="14.28515625" style="4" customWidth="1"/>
    <col min="266" max="266" width="19.140625" style="4" customWidth="1"/>
    <col min="267" max="270" width="0" style="4" hidden="1" customWidth="1"/>
    <col min="271" max="271" width="11.5703125" style="4" customWidth="1"/>
    <col min="272" max="272" width="8.140625" style="4" customWidth="1"/>
    <col min="273" max="273" width="21.7109375" style="4" customWidth="1"/>
    <col min="274" max="274" width="9.42578125" style="4" customWidth="1"/>
    <col min="275" max="275" width="17.140625" style="4" customWidth="1"/>
    <col min="276" max="276" width="17.7109375" style="4" customWidth="1"/>
    <col min="277" max="277" width="21.85546875" style="4" customWidth="1"/>
    <col min="278" max="278" width="19.85546875" style="4" customWidth="1"/>
    <col min="279" max="279" width="39.7109375" style="4" customWidth="1"/>
    <col min="280" max="280" width="23.140625" style="4" customWidth="1"/>
    <col min="281" max="281" width="10.7109375" style="4" customWidth="1"/>
    <col min="282" max="282" width="14.7109375" style="4" customWidth="1"/>
    <col min="283" max="283" width="10.140625" style="4" customWidth="1"/>
    <col min="284" max="512" width="9.140625" style="4"/>
    <col min="513" max="513" width="18.42578125" style="4" customWidth="1"/>
    <col min="514" max="514" width="19.140625" style="4" customWidth="1"/>
    <col min="515" max="515" width="30.5703125" style="4" customWidth="1"/>
    <col min="516" max="516" width="25.5703125" style="4" customWidth="1"/>
    <col min="517" max="517" width="21.85546875" style="4" customWidth="1"/>
    <col min="518" max="518" width="22.28515625" style="4" customWidth="1"/>
    <col min="519" max="519" width="20.7109375" style="4" customWidth="1"/>
    <col min="520" max="520" width="18" style="4" customWidth="1"/>
    <col min="521" max="521" width="14.28515625" style="4" customWidth="1"/>
    <col min="522" max="522" width="19.140625" style="4" customWidth="1"/>
    <col min="523" max="526" width="0" style="4" hidden="1" customWidth="1"/>
    <col min="527" max="527" width="11.5703125" style="4" customWidth="1"/>
    <col min="528" max="528" width="8.140625" style="4" customWidth="1"/>
    <col min="529" max="529" width="21.7109375" style="4" customWidth="1"/>
    <col min="530" max="530" width="9.42578125" style="4" customWidth="1"/>
    <col min="531" max="531" width="17.140625" style="4" customWidth="1"/>
    <col min="532" max="532" width="17.7109375" style="4" customWidth="1"/>
    <col min="533" max="533" width="21.85546875" style="4" customWidth="1"/>
    <col min="534" max="534" width="19.85546875" style="4" customWidth="1"/>
    <col min="535" max="535" width="39.7109375" style="4" customWidth="1"/>
    <col min="536" max="536" width="23.140625" style="4" customWidth="1"/>
    <col min="537" max="537" width="10.7109375" style="4" customWidth="1"/>
    <col min="538" max="538" width="14.7109375" style="4" customWidth="1"/>
    <col min="539" max="539" width="10.140625" style="4" customWidth="1"/>
    <col min="540" max="768" width="9.140625" style="4"/>
    <col min="769" max="769" width="18.42578125" style="4" customWidth="1"/>
    <col min="770" max="770" width="19.140625" style="4" customWidth="1"/>
    <col min="771" max="771" width="30.5703125" style="4" customWidth="1"/>
    <col min="772" max="772" width="25.5703125" style="4" customWidth="1"/>
    <col min="773" max="773" width="21.85546875" style="4" customWidth="1"/>
    <col min="774" max="774" width="22.28515625" style="4" customWidth="1"/>
    <col min="775" max="775" width="20.7109375" style="4" customWidth="1"/>
    <col min="776" max="776" width="18" style="4" customWidth="1"/>
    <col min="777" max="777" width="14.28515625" style="4" customWidth="1"/>
    <col min="778" max="778" width="19.140625" style="4" customWidth="1"/>
    <col min="779" max="782" width="0" style="4" hidden="1" customWidth="1"/>
    <col min="783" max="783" width="11.5703125" style="4" customWidth="1"/>
    <col min="784" max="784" width="8.140625" style="4" customWidth="1"/>
    <col min="785" max="785" width="21.7109375" style="4" customWidth="1"/>
    <col min="786" max="786" width="9.42578125" style="4" customWidth="1"/>
    <col min="787" max="787" width="17.140625" style="4" customWidth="1"/>
    <col min="788" max="788" width="17.7109375" style="4" customWidth="1"/>
    <col min="789" max="789" width="21.85546875" style="4" customWidth="1"/>
    <col min="790" max="790" width="19.85546875" style="4" customWidth="1"/>
    <col min="791" max="791" width="39.7109375" style="4" customWidth="1"/>
    <col min="792" max="792" width="23.140625" style="4" customWidth="1"/>
    <col min="793" max="793" width="10.7109375" style="4" customWidth="1"/>
    <col min="794" max="794" width="14.7109375" style="4" customWidth="1"/>
    <col min="795" max="795" width="10.140625" style="4" customWidth="1"/>
    <col min="796" max="1024" width="9.140625" style="4"/>
    <col min="1025" max="1025" width="18.42578125" style="4" customWidth="1"/>
    <col min="1026" max="1026" width="19.140625" style="4" customWidth="1"/>
    <col min="1027" max="1027" width="30.5703125" style="4" customWidth="1"/>
    <col min="1028" max="1028" width="25.5703125" style="4" customWidth="1"/>
    <col min="1029" max="1029" width="21.85546875" style="4" customWidth="1"/>
    <col min="1030" max="1030" width="22.28515625" style="4" customWidth="1"/>
    <col min="1031" max="1031" width="20.7109375" style="4" customWidth="1"/>
    <col min="1032" max="1032" width="18" style="4" customWidth="1"/>
    <col min="1033" max="1033" width="14.28515625" style="4" customWidth="1"/>
    <col min="1034" max="1034" width="19.140625" style="4" customWidth="1"/>
    <col min="1035" max="1038" width="0" style="4" hidden="1" customWidth="1"/>
    <col min="1039" max="1039" width="11.5703125" style="4" customWidth="1"/>
    <col min="1040" max="1040" width="8.140625" style="4" customWidth="1"/>
    <col min="1041" max="1041" width="21.7109375" style="4" customWidth="1"/>
    <col min="1042" max="1042" width="9.42578125" style="4" customWidth="1"/>
    <col min="1043" max="1043" width="17.140625" style="4" customWidth="1"/>
    <col min="1044" max="1044" width="17.7109375" style="4" customWidth="1"/>
    <col min="1045" max="1045" width="21.85546875" style="4" customWidth="1"/>
    <col min="1046" max="1046" width="19.85546875" style="4" customWidth="1"/>
    <col min="1047" max="1047" width="39.7109375" style="4" customWidth="1"/>
    <col min="1048" max="1048" width="23.140625" style="4" customWidth="1"/>
    <col min="1049" max="1049" width="10.7109375" style="4" customWidth="1"/>
    <col min="1050" max="1050" width="14.7109375" style="4" customWidth="1"/>
    <col min="1051" max="1051" width="10.140625" style="4" customWidth="1"/>
    <col min="1052" max="1280" width="9.140625" style="4"/>
    <col min="1281" max="1281" width="18.42578125" style="4" customWidth="1"/>
    <col min="1282" max="1282" width="19.140625" style="4" customWidth="1"/>
    <col min="1283" max="1283" width="30.5703125" style="4" customWidth="1"/>
    <col min="1284" max="1284" width="25.5703125" style="4" customWidth="1"/>
    <col min="1285" max="1285" width="21.85546875" style="4" customWidth="1"/>
    <col min="1286" max="1286" width="22.28515625" style="4" customWidth="1"/>
    <col min="1287" max="1287" width="20.7109375" style="4" customWidth="1"/>
    <col min="1288" max="1288" width="18" style="4" customWidth="1"/>
    <col min="1289" max="1289" width="14.28515625" style="4" customWidth="1"/>
    <col min="1290" max="1290" width="19.140625" style="4" customWidth="1"/>
    <col min="1291" max="1294" width="0" style="4" hidden="1" customWidth="1"/>
    <col min="1295" max="1295" width="11.5703125" style="4" customWidth="1"/>
    <col min="1296" max="1296" width="8.140625" style="4" customWidth="1"/>
    <col min="1297" max="1297" width="21.7109375" style="4" customWidth="1"/>
    <col min="1298" max="1298" width="9.42578125" style="4" customWidth="1"/>
    <col min="1299" max="1299" width="17.140625" style="4" customWidth="1"/>
    <col min="1300" max="1300" width="17.7109375" style="4" customWidth="1"/>
    <col min="1301" max="1301" width="21.85546875" style="4" customWidth="1"/>
    <col min="1302" max="1302" width="19.85546875" style="4" customWidth="1"/>
    <col min="1303" max="1303" width="39.7109375" style="4" customWidth="1"/>
    <col min="1304" max="1304" width="23.140625" style="4" customWidth="1"/>
    <col min="1305" max="1305" width="10.7109375" style="4" customWidth="1"/>
    <col min="1306" max="1306" width="14.7109375" style="4" customWidth="1"/>
    <col min="1307" max="1307" width="10.140625" style="4" customWidth="1"/>
    <col min="1308" max="1536" width="9.140625" style="4"/>
    <col min="1537" max="1537" width="18.42578125" style="4" customWidth="1"/>
    <col min="1538" max="1538" width="19.140625" style="4" customWidth="1"/>
    <col min="1539" max="1539" width="30.5703125" style="4" customWidth="1"/>
    <col min="1540" max="1540" width="25.5703125" style="4" customWidth="1"/>
    <col min="1541" max="1541" width="21.85546875" style="4" customWidth="1"/>
    <col min="1542" max="1542" width="22.28515625" style="4" customWidth="1"/>
    <col min="1543" max="1543" width="20.7109375" style="4" customWidth="1"/>
    <col min="1544" max="1544" width="18" style="4" customWidth="1"/>
    <col min="1545" max="1545" width="14.28515625" style="4" customWidth="1"/>
    <col min="1546" max="1546" width="19.140625" style="4" customWidth="1"/>
    <col min="1547" max="1550" width="0" style="4" hidden="1" customWidth="1"/>
    <col min="1551" max="1551" width="11.5703125" style="4" customWidth="1"/>
    <col min="1552" max="1552" width="8.140625" style="4" customWidth="1"/>
    <col min="1553" max="1553" width="21.7109375" style="4" customWidth="1"/>
    <col min="1554" max="1554" width="9.42578125" style="4" customWidth="1"/>
    <col min="1555" max="1555" width="17.140625" style="4" customWidth="1"/>
    <col min="1556" max="1556" width="17.7109375" style="4" customWidth="1"/>
    <col min="1557" max="1557" width="21.85546875" style="4" customWidth="1"/>
    <col min="1558" max="1558" width="19.85546875" style="4" customWidth="1"/>
    <col min="1559" max="1559" width="39.7109375" style="4" customWidth="1"/>
    <col min="1560" max="1560" width="23.140625" style="4" customWidth="1"/>
    <col min="1561" max="1561" width="10.7109375" style="4" customWidth="1"/>
    <col min="1562" max="1562" width="14.7109375" style="4" customWidth="1"/>
    <col min="1563" max="1563" width="10.140625" style="4" customWidth="1"/>
    <col min="1564" max="1792" width="9.140625" style="4"/>
    <col min="1793" max="1793" width="18.42578125" style="4" customWidth="1"/>
    <col min="1794" max="1794" width="19.140625" style="4" customWidth="1"/>
    <col min="1795" max="1795" width="30.5703125" style="4" customWidth="1"/>
    <col min="1796" max="1796" width="25.5703125" style="4" customWidth="1"/>
    <col min="1797" max="1797" width="21.85546875" style="4" customWidth="1"/>
    <col min="1798" max="1798" width="22.28515625" style="4" customWidth="1"/>
    <col min="1799" max="1799" width="20.7109375" style="4" customWidth="1"/>
    <col min="1800" max="1800" width="18" style="4" customWidth="1"/>
    <col min="1801" max="1801" width="14.28515625" style="4" customWidth="1"/>
    <col min="1802" max="1802" width="19.140625" style="4" customWidth="1"/>
    <col min="1803" max="1806" width="0" style="4" hidden="1" customWidth="1"/>
    <col min="1807" max="1807" width="11.5703125" style="4" customWidth="1"/>
    <col min="1808" max="1808" width="8.140625" style="4" customWidth="1"/>
    <col min="1809" max="1809" width="21.7109375" style="4" customWidth="1"/>
    <col min="1810" max="1810" width="9.42578125" style="4" customWidth="1"/>
    <col min="1811" max="1811" width="17.140625" style="4" customWidth="1"/>
    <col min="1812" max="1812" width="17.7109375" style="4" customWidth="1"/>
    <col min="1813" max="1813" width="21.85546875" style="4" customWidth="1"/>
    <col min="1814" max="1814" width="19.85546875" style="4" customWidth="1"/>
    <col min="1815" max="1815" width="39.7109375" style="4" customWidth="1"/>
    <col min="1816" max="1816" width="23.140625" style="4" customWidth="1"/>
    <col min="1817" max="1817" width="10.7109375" style="4" customWidth="1"/>
    <col min="1818" max="1818" width="14.7109375" style="4" customWidth="1"/>
    <col min="1819" max="1819" width="10.140625" style="4" customWidth="1"/>
    <col min="1820" max="2048" width="9.140625" style="4"/>
    <col min="2049" max="2049" width="18.42578125" style="4" customWidth="1"/>
    <col min="2050" max="2050" width="19.140625" style="4" customWidth="1"/>
    <col min="2051" max="2051" width="30.5703125" style="4" customWidth="1"/>
    <col min="2052" max="2052" width="25.5703125" style="4" customWidth="1"/>
    <col min="2053" max="2053" width="21.85546875" style="4" customWidth="1"/>
    <col min="2054" max="2054" width="22.28515625" style="4" customWidth="1"/>
    <col min="2055" max="2055" width="20.7109375" style="4" customWidth="1"/>
    <col min="2056" max="2056" width="18" style="4" customWidth="1"/>
    <col min="2057" max="2057" width="14.28515625" style="4" customWidth="1"/>
    <col min="2058" max="2058" width="19.140625" style="4" customWidth="1"/>
    <col min="2059" max="2062" width="0" style="4" hidden="1" customWidth="1"/>
    <col min="2063" max="2063" width="11.5703125" style="4" customWidth="1"/>
    <col min="2064" max="2064" width="8.140625" style="4" customWidth="1"/>
    <col min="2065" max="2065" width="21.7109375" style="4" customWidth="1"/>
    <col min="2066" max="2066" width="9.42578125" style="4" customWidth="1"/>
    <col min="2067" max="2067" width="17.140625" style="4" customWidth="1"/>
    <col min="2068" max="2068" width="17.7109375" style="4" customWidth="1"/>
    <col min="2069" max="2069" width="21.85546875" style="4" customWidth="1"/>
    <col min="2070" max="2070" width="19.85546875" style="4" customWidth="1"/>
    <col min="2071" max="2071" width="39.7109375" style="4" customWidth="1"/>
    <col min="2072" max="2072" width="23.140625" style="4" customWidth="1"/>
    <col min="2073" max="2073" width="10.7109375" style="4" customWidth="1"/>
    <col min="2074" max="2074" width="14.7109375" style="4" customWidth="1"/>
    <col min="2075" max="2075" width="10.140625" style="4" customWidth="1"/>
    <col min="2076" max="2304" width="9.140625" style="4"/>
    <col min="2305" max="2305" width="18.42578125" style="4" customWidth="1"/>
    <col min="2306" max="2306" width="19.140625" style="4" customWidth="1"/>
    <col min="2307" max="2307" width="30.5703125" style="4" customWidth="1"/>
    <col min="2308" max="2308" width="25.5703125" style="4" customWidth="1"/>
    <col min="2309" max="2309" width="21.85546875" style="4" customWidth="1"/>
    <col min="2310" max="2310" width="22.28515625" style="4" customWidth="1"/>
    <col min="2311" max="2311" width="20.7109375" style="4" customWidth="1"/>
    <col min="2312" max="2312" width="18" style="4" customWidth="1"/>
    <col min="2313" max="2313" width="14.28515625" style="4" customWidth="1"/>
    <col min="2314" max="2314" width="19.140625" style="4" customWidth="1"/>
    <col min="2315" max="2318" width="0" style="4" hidden="1" customWidth="1"/>
    <col min="2319" max="2319" width="11.5703125" style="4" customWidth="1"/>
    <col min="2320" max="2320" width="8.140625" style="4" customWidth="1"/>
    <col min="2321" max="2321" width="21.7109375" style="4" customWidth="1"/>
    <col min="2322" max="2322" width="9.42578125" style="4" customWidth="1"/>
    <col min="2323" max="2323" width="17.140625" style="4" customWidth="1"/>
    <col min="2324" max="2324" width="17.7109375" style="4" customWidth="1"/>
    <col min="2325" max="2325" width="21.85546875" style="4" customWidth="1"/>
    <col min="2326" max="2326" width="19.85546875" style="4" customWidth="1"/>
    <col min="2327" max="2327" width="39.7109375" style="4" customWidth="1"/>
    <col min="2328" max="2328" width="23.140625" style="4" customWidth="1"/>
    <col min="2329" max="2329" width="10.7109375" style="4" customWidth="1"/>
    <col min="2330" max="2330" width="14.7109375" style="4" customWidth="1"/>
    <col min="2331" max="2331" width="10.140625" style="4" customWidth="1"/>
    <col min="2332" max="2560" width="9.140625" style="4"/>
    <col min="2561" max="2561" width="18.42578125" style="4" customWidth="1"/>
    <col min="2562" max="2562" width="19.140625" style="4" customWidth="1"/>
    <col min="2563" max="2563" width="30.5703125" style="4" customWidth="1"/>
    <col min="2564" max="2564" width="25.5703125" style="4" customWidth="1"/>
    <col min="2565" max="2565" width="21.85546875" style="4" customWidth="1"/>
    <col min="2566" max="2566" width="22.28515625" style="4" customWidth="1"/>
    <col min="2567" max="2567" width="20.7109375" style="4" customWidth="1"/>
    <col min="2568" max="2568" width="18" style="4" customWidth="1"/>
    <col min="2569" max="2569" width="14.28515625" style="4" customWidth="1"/>
    <col min="2570" max="2570" width="19.140625" style="4" customWidth="1"/>
    <col min="2571" max="2574" width="0" style="4" hidden="1" customWidth="1"/>
    <col min="2575" max="2575" width="11.5703125" style="4" customWidth="1"/>
    <col min="2576" max="2576" width="8.140625" style="4" customWidth="1"/>
    <col min="2577" max="2577" width="21.7109375" style="4" customWidth="1"/>
    <col min="2578" max="2578" width="9.42578125" style="4" customWidth="1"/>
    <col min="2579" max="2579" width="17.140625" style="4" customWidth="1"/>
    <col min="2580" max="2580" width="17.7109375" style="4" customWidth="1"/>
    <col min="2581" max="2581" width="21.85546875" style="4" customWidth="1"/>
    <col min="2582" max="2582" width="19.85546875" style="4" customWidth="1"/>
    <col min="2583" max="2583" width="39.7109375" style="4" customWidth="1"/>
    <col min="2584" max="2584" width="23.140625" style="4" customWidth="1"/>
    <col min="2585" max="2585" width="10.7109375" style="4" customWidth="1"/>
    <col min="2586" max="2586" width="14.7109375" style="4" customWidth="1"/>
    <col min="2587" max="2587" width="10.140625" style="4" customWidth="1"/>
    <col min="2588" max="2816" width="9.140625" style="4"/>
    <col min="2817" max="2817" width="18.42578125" style="4" customWidth="1"/>
    <col min="2818" max="2818" width="19.140625" style="4" customWidth="1"/>
    <col min="2819" max="2819" width="30.5703125" style="4" customWidth="1"/>
    <col min="2820" max="2820" width="25.5703125" style="4" customWidth="1"/>
    <col min="2821" max="2821" width="21.85546875" style="4" customWidth="1"/>
    <col min="2822" max="2822" width="22.28515625" style="4" customWidth="1"/>
    <col min="2823" max="2823" width="20.7109375" style="4" customWidth="1"/>
    <col min="2824" max="2824" width="18" style="4" customWidth="1"/>
    <col min="2825" max="2825" width="14.28515625" style="4" customWidth="1"/>
    <col min="2826" max="2826" width="19.140625" style="4" customWidth="1"/>
    <col min="2827" max="2830" width="0" style="4" hidden="1" customWidth="1"/>
    <col min="2831" max="2831" width="11.5703125" style="4" customWidth="1"/>
    <col min="2832" max="2832" width="8.140625" style="4" customWidth="1"/>
    <col min="2833" max="2833" width="21.7109375" style="4" customWidth="1"/>
    <col min="2834" max="2834" width="9.42578125" style="4" customWidth="1"/>
    <col min="2835" max="2835" width="17.140625" style="4" customWidth="1"/>
    <col min="2836" max="2836" width="17.7109375" style="4" customWidth="1"/>
    <col min="2837" max="2837" width="21.85546875" style="4" customWidth="1"/>
    <col min="2838" max="2838" width="19.85546875" style="4" customWidth="1"/>
    <col min="2839" max="2839" width="39.7109375" style="4" customWidth="1"/>
    <col min="2840" max="2840" width="23.140625" style="4" customWidth="1"/>
    <col min="2841" max="2841" width="10.7109375" style="4" customWidth="1"/>
    <col min="2842" max="2842" width="14.7109375" style="4" customWidth="1"/>
    <col min="2843" max="2843" width="10.140625" style="4" customWidth="1"/>
    <col min="2844" max="3072" width="9.140625" style="4"/>
    <col min="3073" max="3073" width="18.42578125" style="4" customWidth="1"/>
    <col min="3074" max="3074" width="19.140625" style="4" customWidth="1"/>
    <col min="3075" max="3075" width="30.5703125" style="4" customWidth="1"/>
    <col min="3076" max="3076" width="25.5703125" style="4" customWidth="1"/>
    <col min="3077" max="3077" width="21.85546875" style="4" customWidth="1"/>
    <col min="3078" max="3078" width="22.28515625" style="4" customWidth="1"/>
    <col min="3079" max="3079" width="20.7109375" style="4" customWidth="1"/>
    <col min="3080" max="3080" width="18" style="4" customWidth="1"/>
    <col min="3081" max="3081" width="14.28515625" style="4" customWidth="1"/>
    <col min="3082" max="3082" width="19.140625" style="4" customWidth="1"/>
    <col min="3083" max="3086" width="0" style="4" hidden="1" customWidth="1"/>
    <col min="3087" max="3087" width="11.5703125" style="4" customWidth="1"/>
    <col min="3088" max="3088" width="8.140625" style="4" customWidth="1"/>
    <col min="3089" max="3089" width="21.7109375" style="4" customWidth="1"/>
    <col min="3090" max="3090" width="9.42578125" style="4" customWidth="1"/>
    <col min="3091" max="3091" width="17.140625" style="4" customWidth="1"/>
    <col min="3092" max="3092" width="17.7109375" style="4" customWidth="1"/>
    <col min="3093" max="3093" width="21.85546875" style="4" customWidth="1"/>
    <col min="3094" max="3094" width="19.85546875" style="4" customWidth="1"/>
    <col min="3095" max="3095" width="39.7109375" style="4" customWidth="1"/>
    <col min="3096" max="3096" width="23.140625" style="4" customWidth="1"/>
    <col min="3097" max="3097" width="10.7109375" style="4" customWidth="1"/>
    <col min="3098" max="3098" width="14.7109375" style="4" customWidth="1"/>
    <col min="3099" max="3099" width="10.140625" style="4" customWidth="1"/>
    <col min="3100" max="3328" width="9.140625" style="4"/>
    <col min="3329" max="3329" width="18.42578125" style="4" customWidth="1"/>
    <col min="3330" max="3330" width="19.140625" style="4" customWidth="1"/>
    <col min="3331" max="3331" width="30.5703125" style="4" customWidth="1"/>
    <col min="3332" max="3332" width="25.5703125" style="4" customWidth="1"/>
    <col min="3333" max="3333" width="21.85546875" style="4" customWidth="1"/>
    <col min="3334" max="3334" width="22.28515625" style="4" customWidth="1"/>
    <col min="3335" max="3335" width="20.7109375" style="4" customWidth="1"/>
    <col min="3336" max="3336" width="18" style="4" customWidth="1"/>
    <col min="3337" max="3337" width="14.28515625" style="4" customWidth="1"/>
    <col min="3338" max="3338" width="19.140625" style="4" customWidth="1"/>
    <col min="3339" max="3342" width="0" style="4" hidden="1" customWidth="1"/>
    <col min="3343" max="3343" width="11.5703125" style="4" customWidth="1"/>
    <col min="3344" max="3344" width="8.140625" style="4" customWidth="1"/>
    <col min="3345" max="3345" width="21.7109375" style="4" customWidth="1"/>
    <col min="3346" max="3346" width="9.42578125" style="4" customWidth="1"/>
    <col min="3347" max="3347" width="17.140625" style="4" customWidth="1"/>
    <col min="3348" max="3348" width="17.7109375" style="4" customWidth="1"/>
    <col min="3349" max="3349" width="21.85546875" style="4" customWidth="1"/>
    <col min="3350" max="3350" width="19.85546875" style="4" customWidth="1"/>
    <col min="3351" max="3351" width="39.7109375" style="4" customWidth="1"/>
    <col min="3352" max="3352" width="23.140625" style="4" customWidth="1"/>
    <col min="3353" max="3353" width="10.7109375" style="4" customWidth="1"/>
    <col min="3354" max="3354" width="14.7109375" style="4" customWidth="1"/>
    <col min="3355" max="3355" width="10.140625" style="4" customWidth="1"/>
    <col min="3356" max="3584" width="9.140625" style="4"/>
    <col min="3585" max="3585" width="18.42578125" style="4" customWidth="1"/>
    <col min="3586" max="3586" width="19.140625" style="4" customWidth="1"/>
    <col min="3587" max="3587" width="30.5703125" style="4" customWidth="1"/>
    <col min="3588" max="3588" width="25.5703125" style="4" customWidth="1"/>
    <col min="3589" max="3589" width="21.85546875" style="4" customWidth="1"/>
    <col min="3590" max="3590" width="22.28515625" style="4" customWidth="1"/>
    <col min="3591" max="3591" width="20.7109375" style="4" customWidth="1"/>
    <col min="3592" max="3592" width="18" style="4" customWidth="1"/>
    <col min="3593" max="3593" width="14.28515625" style="4" customWidth="1"/>
    <col min="3594" max="3594" width="19.140625" style="4" customWidth="1"/>
    <col min="3595" max="3598" width="0" style="4" hidden="1" customWidth="1"/>
    <col min="3599" max="3599" width="11.5703125" style="4" customWidth="1"/>
    <col min="3600" max="3600" width="8.140625" style="4" customWidth="1"/>
    <col min="3601" max="3601" width="21.7109375" style="4" customWidth="1"/>
    <col min="3602" max="3602" width="9.42578125" style="4" customWidth="1"/>
    <col min="3603" max="3603" width="17.140625" style="4" customWidth="1"/>
    <col min="3604" max="3604" width="17.7109375" style="4" customWidth="1"/>
    <col min="3605" max="3605" width="21.85546875" style="4" customWidth="1"/>
    <col min="3606" max="3606" width="19.85546875" style="4" customWidth="1"/>
    <col min="3607" max="3607" width="39.7109375" style="4" customWidth="1"/>
    <col min="3608" max="3608" width="23.140625" style="4" customWidth="1"/>
    <col min="3609" max="3609" width="10.7109375" style="4" customWidth="1"/>
    <col min="3610" max="3610" width="14.7109375" style="4" customWidth="1"/>
    <col min="3611" max="3611" width="10.140625" style="4" customWidth="1"/>
    <col min="3612" max="3840" width="9.140625" style="4"/>
    <col min="3841" max="3841" width="18.42578125" style="4" customWidth="1"/>
    <col min="3842" max="3842" width="19.140625" style="4" customWidth="1"/>
    <col min="3843" max="3843" width="30.5703125" style="4" customWidth="1"/>
    <col min="3844" max="3844" width="25.5703125" style="4" customWidth="1"/>
    <col min="3845" max="3845" width="21.85546875" style="4" customWidth="1"/>
    <col min="3846" max="3846" width="22.28515625" style="4" customWidth="1"/>
    <col min="3847" max="3847" width="20.7109375" style="4" customWidth="1"/>
    <col min="3848" max="3848" width="18" style="4" customWidth="1"/>
    <col min="3849" max="3849" width="14.28515625" style="4" customWidth="1"/>
    <col min="3850" max="3850" width="19.140625" style="4" customWidth="1"/>
    <col min="3851" max="3854" width="0" style="4" hidden="1" customWidth="1"/>
    <col min="3855" max="3855" width="11.5703125" style="4" customWidth="1"/>
    <col min="3856" max="3856" width="8.140625" style="4" customWidth="1"/>
    <col min="3857" max="3857" width="21.7109375" style="4" customWidth="1"/>
    <col min="3858" max="3858" width="9.42578125" style="4" customWidth="1"/>
    <col min="3859" max="3859" width="17.140625" style="4" customWidth="1"/>
    <col min="3860" max="3860" width="17.7109375" style="4" customWidth="1"/>
    <col min="3861" max="3861" width="21.85546875" style="4" customWidth="1"/>
    <col min="3862" max="3862" width="19.85546875" style="4" customWidth="1"/>
    <col min="3863" max="3863" width="39.7109375" style="4" customWidth="1"/>
    <col min="3864" max="3864" width="23.140625" style="4" customWidth="1"/>
    <col min="3865" max="3865" width="10.7109375" style="4" customWidth="1"/>
    <col min="3866" max="3866" width="14.7109375" style="4" customWidth="1"/>
    <col min="3867" max="3867" width="10.140625" style="4" customWidth="1"/>
    <col min="3868" max="4096" width="9.140625" style="4"/>
    <col min="4097" max="4097" width="18.42578125" style="4" customWidth="1"/>
    <col min="4098" max="4098" width="19.140625" style="4" customWidth="1"/>
    <col min="4099" max="4099" width="30.5703125" style="4" customWidth="1"/>
    <col min="4100" max="4100" width="25.5703125" style="4" customWidth="1"/>
    <col min="4101" max="4101" width="21.85546875" style="4" customWidth="1"/>
    <col min="4102" max="4102" width="22.28515625" style="4" customWidth="1"/>
    <col min="4103" max="4103" width="20.7109375" style="4" customWidth="1"/>
    <col min="4104" max="4104" width="18" style="4" customWidth="1"/>
    <col min="4105" max="4105" width="14.28515625" style="4" customWidth="1"/>
    <col min="4106" max="4106" width="19.140625" style="4" customWidth="1"/>
    <col min="4107" max="4110" width="0" style="4" hidden="1" customWidth="1"/>
    <col min="4111" max="4111" width="11.5703125" style="4" customWidth="1"/>
    <col min="4112" max="4112" width="8.140625" style="4" customWidth="1"/>
    <col min="4113" max="4113" width="21.7109375" style="4" customWidth="1"/>
    <col min="4114" max="4114" width="9.42578125" style="4" customWidth="1"/>
    <col min="4115" max="4115" width="17.140625" style="4" customWidth="1"/>
    <col min="4116" max="4116" width="17.7109375" style="4" customWidth="1"/>
    <col min="4117" max="4117" width="21.85546875" style="4" customWidth="1"/>
    <col min="4118" max="4118" width="19.85546875" style="4" customWidth="1"/>
    <col min="4119" max="4119" width="39.7109375" style="4" customWidth="1"/>
    <col min="4120" max="4120" width="23.140625" style="4" customWidth="1"/>
    <col min="4121" max="4121" width="10.7109375" style="4" customWidth="1"/>
    <col min="4122" max="4122" width="14.7109375" style="4" customWidth="1"/>
    <col min="4123" max="4123" width="10.140625" style="4" customWidth="1"/>
    <col min="4124" max="4352" width="9.140625" style="4"/>
    <col min="4353" max="4353" width="18.42578125" style="4" customWidth="1"/>
    <col min="4354" max="4354" width="19.140625" style="4" customWidth="1"/>
    <col min="4355" max="4355" width="30.5703125" style="4" customWidth="1"/>
    <col min="4356" max="4356" width="25.5703125" style="4" customWidth="1"/>
    <col min="4357" max="4357" width="21.85546875" style="4" customWidth="1"/>
    <col min="4358" max="4358" width="22.28515625" style="4" customWidth="1"/>
    <col min="4359" max="4359" width="20.7109375" style="4" customWidth="1"/>
    <col min="4360" max="4360" width="18" style="4" customWidth="1"/>
    <col min="4361" max="4361" width="14.28515625" style="4" customWidth="1"/>
    <col min="4362" max="4362" width="19.140625" style="4" customWidth="1"/>
    <col min="4363" max="4366" width="0" style="4" hidden="1" customWidth="1"/>
    <col min="4367" max="4367" width="11.5703125" style="4" customWidth="1"/>
    <col min="4368" max="4368" width="8.140625" style="4" customWidth="1"/>
    <col min="4369" max="4369" width="21.7109375" style="4" customWidth="1"/>
    <col min="4370" max="4370" width="9.42578125" style="4" customWidth="1"/>
    <col min="4371" max="4371" width="17.140625" style="4" customWidth="1"/>
    <col min="4372" max="4372" width="17.7109375" style="4" customWidth="1"/>
    <col min="4373" max="4373" width="21.85546875" style="4" customWidth="1"/>
    <col min="4374" max="4374" width="19.85546875" style="4" customWidth="1"/>
    <col min="4375" max="4375" width="39.7109375" style="4" customWidth="1"/>
    <col min="4376" max="4376" width="23.140625" style="4" customWidth="1"/>
    <col min="4377" max="4377" width="10.7109375" style="4" customWidth="1"/>
    <col min="4378" max="4378" width="14.7109375" style="4" customWidth="1"/>
    <col min="4379" max="4379" width="10.140625" style="4" customWidth="1"/>
    <col min="4380" max="4608" width="9.140625" style="4"/>
    <col min="4609" max="4609" width="18.42578125" style="4" customWidth="1"/>
    <col min="4610" max="4610" width="19.140625" style="4" customWidth="1"/>
    <col min="4611" max="4611" width="30.5703125" style="4" customWidth="1"/>
    <col min="4612" max="4612" width="25.5703125" style="4" customWidth="1"/>
    <col min="4613" max="4613" width="21.85546875" style="4" customWidth="1"/>
    <col min="4614" max="4614" width="22.28515625" style="4" customWidth="1"/>
    <col min="4615" max="4615" width="20.7109375" style="4" customWidth="1"/>
    <col min="4616" max="4616" width="18" style="4" customWidth="1"/>
    <col min="4617" max="4617" width="14.28515625" style="4" customWidth="1"/>
    <col min="4618" max="4618" width="19.140625" style="4" customWidth="1"/>
    <col min="4619" max="4622" width="0" style="4" hidden="1" customWidth="1"/>
    <col min="4623" max="4623" width="11.5703125" style="4" customWidth="1"/>
    <col min="4624" max="4624" width="8.140625" style="4" customWidth="1"/>
    <col min="4625" max="4625" width="21.7109375" style="4" customWidth="1"/>
    <col min="4626" max="4626" width="9.42578125" style="4" customWidth="1"/>
    <col min="4627" max="4627" width="17.140625" style="4" customWidth="1"/>
    <col min="4628" max="4628" width="17.7109375" style="4" customWidth="1"/>
    <col min="4629" max="4629" width="21.85546875" style="4" customWidth="1"/>
    <col min="4630" max="4630" width="19.85546875" style="4" customWidth="1"/>
    <col min="4631" max="4631" width="39.7109375" style="4" customWidth="1"/>
    <col min="4632" max="4632" width="23.140625" style="4" customWidth="1"/>
    <col min="4633" max="4633" width="10.7109375" style="4" customWidth="1"/>
    <col min="4634" max="4634" width="14.7109375" style="4" customWidth="1"/>
    <col min="4635" max="4635" width="10.140625" style="4" customWidth="1"/>
    <col min="4636" max="4864" width="9.140625" style="4"/>
    <col min="4865" max="4865" width="18.42578125" style="4" customWidth="1"/>
    <col min="4866" max="4866" width="19.140625" style="4" customWidth="1"/>
    <col min="4867" max="4867" width="30.5703125" style="4" customWidth="1"/>
    <col min="4868" max="4868" width="25.5703125" style="4" customWidth="1"/>
    <col min="4869" max="4869" width="21.85546875" style="4" customWidth="1"/>
    <col min="4870" max="4870" width="22.28515625" style="4" customWidth="1"/>
    <col min="4871" max="4871" width="20.7109375" style="4" customWidth="1"/>
    <col min="4872" max="4872" width="18" style="4" customWidth="1"/>
    <col min="4873" max="4873" width="14.28515625" style="4" customWidth="1"/>
    <col min="4874" max="4874" width="19.140625" style="4" customWidth="1"/>
    <col min="4875" max="4878" width="0" style="4" hidden="1" customWidth="1"/>
    <col min="4879" max="4879" width="11.5703125" style="4" customWidth="1"/>
    <col min="4880" max="4880" width="8.140625" style="4" customWidth="1"/>
    <col min="4881" max="4881" width="21.7109375" style="4" customWidth="1"/>
    <col min="4882" max="4882" width="9.42578125" style="4" customWidth="1"/>
    <col min="4883" max="4883" width="17.140625" style="4" customWidth="1"/>
    <col min="4884" max="4884" width="17.7109375" style="4" customWidth="1"/>
    <col min="4885" max="4885" width="21.85546875" style="4" customWidth="1"/>
    <col min="4886" max="4886" width="19.85546875" style="4" customWidth="1"/>
    <col min="4887" max="4887" width="39.7109375" style="4" customWidth="1"/>
    <col min="4888" max="4888" width="23.140625" style="4" customWidth="1"/>
    <col min="4889" max="4889" width="10.7109375" style="4" customWidth="1"/>
    <col min="4890" max="4890" width="14.7109375" style="4" customWidth="1"/>
    <col min="4891" max="4891" width="10.140625" style="4" customWidth="1"/>
    <col min="4892" max="5120" width="9.140625" style="4"/>
    <col min="5121" max="5121" width="18.42578125" style="4" customWidth="1"/>
    <col min="5122" max="5122" width="19.140625" style="4" customWidth="1"/>
    <col min="5123" max="5123" width="30.5703125" style="4" customWidth="1"/>
    <col min="5124" max="5124" width="25.5703125" style="4" customWidth="1"/>
    <col min="5125" max="5125" width="21.85546875" style="4" customWidth="1"/>
    <col min="5126" max="5126" width="22.28515625" style="4" customWidth="1"/>
    <col min="5127" max="5127" width="20.7109375" style="4" customWidth="1"/>
    <col min="5128" max="5128" width="18" style="4" customWidth="1"/>
    <col min="5129" max="5129" width="14.28515625" style="4" customWidth="1"/>
    <col min="5130" max="5130" width="19.140625" style="4" customWidth="1"/>
    <col min="5131" max="5134" width="0" style="4" hidden="1" customWidth="1"/>
    <col min="5135" max="5135" width="11.5703125" style="4" customWidth="1"/>
    <col min="5136" max="5136" width="8.140625" style="4" customWidth="1"/>
    <col min="5137" max="5137" width="21.7109375" style="4" customWidth="1"/>
    <col min="5138" max="5138" width="9.42578125" style="4" customWidth="1"/>
    <col min="5139" max="5139" width="17.140625" style="4" customWidth="1"/>
    <col min="5140" max="5140" width="17.7109375" style="4" customWidth="1"/>
    <col min="5141" max="5141" width="21.85546875" style="4" customWidth="1"/>
    <col min="5142" max="5142" width="19.85546875" style="4" customWidth="1"/>
    <col min="5143" max="5143" width="39.7109375" style="4" customWidth="1"/>
    <col min="5144" max="5144" width="23.140625" style="4" customWidth="1"/>
    <col min="5145" max="5145" width="10.7109375" style="4" customWidth="1"/>
    <col min="5146" max="5146" width="14.7109375" style="4" customWidth="1"/>
    <col min="5147" max="5147" width="10.140625" style="4" customWidth="1"/>
    <col min="5148" max="5376" width="9.140625" style="4"/>
    <col min="5377" max="5377" width="18.42578125" style="4" customWidth="1"/>
    <col min="5378" max="5378" width="19.140625" style="4" customWidth="1"/>
    <col min="5379" max="5379" width="30.5703125" style="4" customWidth="1"/>
    <col min="5380" max="5380" width="25.5703125" style="4" customWidth="1"/>
    <col min="5381" max="5381" width="21.85546875" style="4" customWidth="1"/>
    <col min="5382" max="5382" width="22.28515625" style="4" customWidth="1"/>
    <col min="5383" max="5383" width="20.7109375" style="4" customWidth="1"/>
    <col min="5384" max="5384" width="18" style="4" customWidth="1"/>
    <col min="5385" max="5385" width="14.28515625" style="4" customWidth="1"/>
    <col min="5386" max="5386" width="19.140625" style="4" customWidth="1"/>
    <col min="5387" max="5390" width="0" style="4" hidden="1" customWidth="1"/>
    <col min="5391" max="5391" width="11.5703125" style="4" customWidth="1"/>
    <col min="5392" max="5392" width="8.140625" style="4" customWidth="1"/>
    <col min="5393" max="5393" width="21.7109375" style="4" customWidth="1"/>
    <col min="5394" max="5394" width="9.42578125" style="4" customWidth="1"/>
    <col min="5395" max="5395" width="17.140625" style="4" customWidth="1"/>
    <col min="5396" max="5396" width="17.7109375" style="4" customWidth="1"/>
    <col min="5397" max="5397" width="21.85546875" style="4" customWidth="1"/>
    <col min="5398" max="5398" width="19.85546875" style="4" customWidth="1"/>
    <col min="5399" max="5399" width="39.7109375" style="4" customWidth="1"/>
    <col min="5400" max="5400" width="23.140625" style="4" customWidth="1"/>
    <col min="5401" max="5401" width="10.7109375" style="4" customWidth="1"/>
    <col min="5402" max="5402" width="14.7109375" style="4" customWidth="1"/>
    <col min="5403" max="5403" width="10.140625" style="4" customWidth="1"/>
    <col min="5404" max="5632" width="9.140625" style="4"/>
    <col min="5633" max="5633" width="18.42578125" style="4" customWidth="1"/>
    <col min="5634" max="5634" width="19.140625" style="4" customWidth="1"/>
    <col min="5635" max="5635" width="30.5703125" style="4" customWidth="1"/>
    <col min="5636" max="5636" width="25.5703125" style="4" customWidth="1"/>
    <col min="5637" max="5637" width="21.85546875" style="4" customWidth="1"/>
    <col min="5638" max="5638" width="22.28515625" style="4" customWidth="1"/>
    <col min="5639" max="5639" width="20.7109375" style="4" customWidth="1"/>
    <col min="5640" max="5640" width="18" style="4" customWidth="1"/>
    <col min="5641" max="5641" width="14.28515625" style="4" customWidth="1"/>
    <col min="5642" max="5642" width="19.140625" style="4" customWidth="1"/>
    <col min="5643" max="5646" width="0" style="4" hidden="1" customWidth="1"/>
    <col min="5647" max="5647" width="11.5703125" style="4" customWidth="1"/>
    <col min="5648" max="5648" width="8.140625" style="4" customWidth="1"/>
    <col min="5649" max="5649" width="21.7109375" style="4" customWidth="1"/>
    <col min="5650" max="5650" width="9.42578125" style="4" customWidth="1"/>
    <col min="5651" max="5651" width="17.140625" style="4" customWidth="1"/>
    <col min="5652" max="5652" width="17.7109375" style="4" customWidth="1"/>
    <col min="5653" max="5653" width="21.85546875" style="4" customWidth="1"/>
    <col min="5654" max="5654" width="19.85546875" style="4" customWidth="1"/>
    <col min="5655" max="5655" width="39.7109375" style="4" customWidth="1"/>
    <col min="5656" max="5656" width="23.140625" style="4" customWidth="1"/>
    <col min="5657" max="5657" width="10.7109375" style="4" customWidth="1"/>
    <col min="5658" max="5658" width="14.7109375" style="4" customWidth="1"/>
    <col min="5659" max="5659" width="10.140625" style="4" customWidth="1"/>
    <col min="5660" max="5888" width="9.140625" style="4"/>
    <col min="5889" max="5889" width="18.42578125" style="4" customWidth="1"/>
    <col min="5890" max="5890" width="19.140625" style="4" customWidth="1"/>
    <col min="5891" max="5891" width="30.5703125" style="4" customWidth="1"/>
    <col min="5892" max="5892" width="25.5703125" style="4" customWidth="1"/>
    <col min="5893" max="5893" width="21.85546875" style="4" customWidth="1"/>
    <col min="5894" max="5894" width="22.28515625" style="4" customWidth="1"/>
    <col min="5895" max="5895" width="20.7109375" style="4" customWidth="1"/>
    <col min="5896" max="5896" width="18" style="4" customWidth="1"/>
    <col min="5897" max="5897" width="14.28515625" style="4" customWidth="1"/>
    <col min="5898" max="5898" width="19.140625" style="4" customWidth="1"/>
    <col min="5899" max="5902" width="0" style="4" hidden="1" customWidth="1"/>
    <col min="5903" max="5903" width="11.5703125" style="4" customWidth="1"/>
    <col min="5904" max="5904" width="8.140625" style="4" customWidth="1"/>
    <col min="5905" max="5905" width="21.7109375" style="4" customWidth="1"/>
    <col min="5906" max="5906" width="9.42578125" style="4" customWidth="1"/>
    <col min="5907" max="5907" width="17.140625" style="4" customWidth="1"/>
    <col min="5908" max="5908" width="17.7109375" style="4" customWidth="1"/>
    <col min="5909" max="5909" width="21.85546875" style="4" customWidth="1"/>
    <col min="5910" max="5910" width="19.85546875" style="4" customWidth="1"/>
    <col min="5911" max="5911" width="39.7109375" style="4" customWidth="1"/>
    <col min="5912" max="5912" width="23.140625" style="4" customWidth="1"/>
    <col min="5913" max="5913" width="10.7109375" style="4" customWidth="1"/>
    <col min="5914" max="5914" width="14.7109375" style="4" customWidth="1"/>
    <col min="5915" max="5915" width="10.140625" style="4" customWidth="1"/>
    <col min="5916" max="6144" width="9.140625" style="4"/>
    <col min="6145" max="6145" width="18.42578125" style="4" customWidth="1"/>
    <col min="6146" max="6146" width="19.140625" style="4" customWidth="1"/>
    <col min="6147" max="6147" width="30.5703125" style="4" customWidth="1"/>
    <col min="6148" max="6148" width="25.5703125" style="4" customWidth="1"/>
    <col min="6149" max="6149" width="21.85546875" style="4" customWidth="1"/>
    <col min="6150" max="6150" width="22.28515625" style="4" customWidth="1"/>
    <col min="6151" max="6151" width="20.7109375" style="4" customWidth="1"/>
    <col min="6152" max="6152" width="18" style="4" customWidth="1"/>
    <col min="6153" max="6153" width="14.28515625" style="4" customWidth="1"/>
    <col min="6154" max="6154" width="19.140625" style="4" customWidth="1"/>
    <col min="6155" max="6158" width="0" style="4" hidden="1" customWidth="1"/>
    <col min="6159" max="6159" width="11.5703125" style="4" customWidth="1"/>
    <col min="6160" max="6160" width="8.140625" style="4" customWidth="1"/>
    <col min="6161" max="6161" width="21.7109375" style="4" customWidth="1"/>
    <col min="6162" max="6162" width="9.42578125" style="4" customWidth="1"/>
    <col min="6163" max="6163" width="17.140625" style="4" customWidth="1"/>
    <col min="6164" max="6164" width="17.7109375" style="4" customWidth="1"/>
    <col min="6165" max="6165" width="21.85546875" style="4" customWidth="1"/>
    <col min="6166" max="6166" width="19.85546875" style="4" customWidth="1"/>
    <col min="6167" max="6167" width="39.7109375" style="4" customWidth="1"/>
    <col min="6168" max="6168" width="23.140625" style="4" customWidth="1"/>
    <col min="6169" max="6169" width="10.7109375" style="4" customWidth="1"/>
    <col min="6170" max="6170" width="14.7109375" style="4" customWidth="1"/>
    <col min="6171" max="6171" width="10.140625" style="4" customWidth="1"/>
    <col min="6172" max="6400" width="9.140625" style="4"/>
    <col min="6401" max="6401" width="18.42578125" style="4" customWidth="1"/>
    <col min="6402" max="6402" width="19.140625" style="4" customWidth="1"/>
    <col min="6403" max="6403" width="30.5703125" style="4" customWidth="1"/>
    <col min="6404" max="6404" width="25.5703125" style="4" customWidth="1"/>
    <col min="6405" max="6405" width="21.85546875" style="4" customWidth="1"/>
    <col min="6406" max="6406" width="22.28515625" style="4" customWidth="1"/>
    <col min="6407" max="6407" width="20.7109375" style="4" customWidth="1"/>
    <col min="6408" max="6408" width="18" style="4" customWidth="1"/>
    <col min="6409" max="6409" width="14.28515625" style="4" customWidth="1"/>
    <col min="6410" max="6410" width="19.140625" style="4" customWidth="1"/>
    <col min="6411" max="6414" width="0" style="4" hidden="1" customWidth="1"/>
    <col min="6415" max="6415" width="11.5703125" style="4" customWidth="1"/>
    <col min="6416" max="6416" width="8.140625" style="4" customWidth="1"/>
    <col min="6417" max="6417" width="21.7109375" style="4" customWidth="1"/>
    <col min="6418" max="6418" width="9.42578125" style="4" customWidth="1"/>
    <col min="6419" max="6419" width="17.140625" style="4" customWidth="1"/>
    <col min="6420" max="6420" width="17.7109375" style="4" customWidth="1"/>
    <col min="6421" max="6421" width="21.85546875" style="4" customWidth="1"/>
    <col min="6422" max="6422" width="19.85546875" style="4" customWidth="1"/>
    <col min="6423" max="6423" width="39.7109375" style="4" customWidth="1"/>
    <col min="6424" max="6424" width="23.140625" style="4" customWidth="1"/>
    <col min="6425" max="6425" width="10.7109375" style="4" customWidth="1"/>
    <col min="6426" max="6426" width="14.7109375" style="4" customWidth="1"/>
    <col min="6427" max="6427" width="10.140625" style="4" customWidth="1"/>
    <col min="6428" max="6656" width="9.140625" style="4"/>
    <col min="6657" max="6657" width="18.42578125" style="4" customWidth="1"/>
    <col min="6658" max="6658" width="19.140625" style="4" customWidth="1"/>
    <col min="6659" max="6659" width="30.5703125" style="4" customWidth="1"/>
    <col min="6660" max="6660" width="25.5703125" style="4" customWidth="1"/>
    <col min="6661" max="6661" width="21.85546875" style="4" customWidth="1"/>
    <col min="6662" max="6662" width="22.28515625" style="4" customWidth="1"/>
    <col min="6663" max="6663" width="20.7109375" style="4" customWidth="1"/>
    <col min="6664" max="6664" width="18" style="4" customWidth="1"/>
    <col min="6665" max="6665" width="14.28515625" style="4" customWidth="1"/>
    <col min="6666" max="6666" width="19.140625" style="4" customWidth="1"/>
    <col min="6667" max="6670" width="0" style="4" hidden="1" customWidth="1"/>
    <col min="6671" max="6671" width="11.5703125" style="4" customWidth="1"/>
    <col min="6672" max="6672" width="8.140625" style="4" customWidth="1"/>
    <col min="6673" max="6673" width="21.7109375" style="4" customWidth="1"/>
    <col min="6674" max="6674" width="9.42578125" style="4" customWidth="1"/>
    <col min="6675" max="6675" width="17.140625" style="4" customWidth="1"/>
    <col min="6676" max="6676" width="17.7109375" style="4" customWidth="1"/>
    <col min="6677" max="6677" width="21.85546875" style="4" customWidth="1"/>
    <col min="6678" max="6678" width="19.85546875" style="4" customWidth="1"/>
    <col min="6679" max="6679" width="39.7109375" style="4" customWidth="1"/>
    <col min="6680" max="6680" width="23.140625" style="4" customWidth="1"/>
    <col min="6681" max="6681" width="10.7109375" style="4" customWidth="1"/>
    <col min="6682" max="6682" width="14.7109375" style="4" customWidth="1"/>
    <col min="6683" max="6683" width="10.140625" style="4" customWidth="1"/>
    <col min="6684" max="6912" width="9.140625" style="4"/>
    <col min="6913" max="6913" width="18.42578125" style="4" customWidth="1"/>
    <col min="6914" max="6914" width="19.140625" style="4" customWidth="1"/>
    <col min="6915" max="6915" width="30.5703125" style="4" customWidth="1"/>
    <col min="6916" max="6916" width="25.5703125" style="4" customWidth="1"/>
    <col min="6917" max="6917" width="21.85546875" style="4" customWidth="1"/>
    <col min="6918" max="6918" width="22.28515625" style="4" customWidth="1"/>
    <col min="6919" max="6919" width="20.7109375" style="4" customWidth="1"/>
    <col min="6920" max="6920" width="18" style="4" customWidth="1"/>
    <col min="6921" max="6921" width="14.28515625" style="4" customWidth="1"/>
    <col min="6922" max="6922" width="19.140625" style="4" customWidth="1"/>
    <col min="6923" max="6926" width="0" style="4" hidden="1" customWidth="1"/>
    <col min="6927" max="6927" width="11.5703125" style="4" customWidth="1"/>
    <col min="6928" max="6928" width="8.140625" style="4" customWidth="1"/>
    <col min="6929" max="6929" width="21.7109375" style="4" customWidth="1"/>
    <col min="6930" max="6930" width="9.42578125" style="4" customWidth="1"/>
    <col min="6931" max="6931" width="17.140625" style="4" customWidth="1"/>
    <col min="6932" max="6932" width="17.7109375" style="4" customWidth="1"/>
    <col min="6933" max="6933" width="21.85546875" style="4" customWidth="1"/>
    <col min="6934" max="6934" width="19.85546875" style="4" customWidth="1"/>
    <col min="6935" max="6935" width="39.7109375" style="4" customWidth="1"/>
    <col min="6936" max="6936" width="23.140625" style="4" customWidth="1"/>
    <col min="6937" max="6937" width="10.7109375" style="4" customWidth="1"/>
    <col min="6938" max="6938" width="14.7109375" style="4" customWidth="1"/>
    <col min="6939" max="6939" width="10.140625" style="4" customWidth="1"/>
    <col min="6940" max="7168" width="9.140625" style="4"/>
    <col min="7169" max="7169" width="18.42578125" style="4" customWidth="1"/>
    <col min="7170" max="7170" width="19.140625" style="4" customWidth="1"/>
    <col min="7171" max="7171" width="30.5703125" style="4" customWidth="1"/>
    <col min="7172" max="7172" width="25.5703125" style="4" customWidth="1"/>
    <col min="7173" max="7173" width="21.85546875" style="4" customWidth="1"/>
    <col min="7174" max="7174" width="22.28515625" style="4" customWidth="1"/>
    <col min="7175" max="7175" width="20.7109375" style="4" customWidth="1"/>
    <col min="7176" max="7176" width="18" style="4" customWidth="1"/>
    <col min="7177" max="7177" width="14.28515625" style="4" customWidth="1"/>
    <col min="7178" max="7178" width="19.140625" style="4" customWidth="1"/>
    <col min="7179" max="7182" width="0" style="4" hidden="1" customWidth="1"/>
    <col min="7183" max="7183" width="11.5703125" style="4" customWidth="1"/>
    <col min="7184" max="7184" width="8.140625" style="4" customWidth="1"/>
    <col min="7185" max="7185" width="21.7109375" style="4" customWidth="1"/>
    <col min="7186" max="7186" width="9.42578125" style="4" customWidth="1"/>
    <col min="7187" max="7187" width="17.140625" style="4" customWidth="1"/>
    <col min="7188" max="7188" width="17.7109375" style="4" customWidth="1"/>
    <col min="7189" max="7189" width="21.85546875" style="4" customWidth="1"/>
    <col min="7190" max="7190" width="19.85546875" style="4" customWidth="1"/>
    <col min="7191" max="7191" width="39.7109375" style="4" customWidth="1"/>
    <col min="7192" max="7192" width="23.140625" style="4" customWidth="1"/>
    <col min="7193" max="7193" width="10.7109375" style="4" customWidth="1"/>
    <col min="7194" max="7194" width="14.7109375" style="4" customWidth="1"/>
    <col min="7195" max="7195" width="10.140625" style="4" customWidth="1"/>
    <col min="7196" max="7424" width="9.140625" style="4"/>
    <col min="7425" max="7425" width="18.42578125" style="4" customWidth="1"/>
    <col min="7426" max="7426" width="19.140625" style="4" customWidth="1"/>
    <col min="7427" max="7427" width="30.5703125" style="4" customWidth="1"/>
    <col min="7428" max="7428" width="25.5703125" style="4" customWidth="1"/>
    <col min="7429" max="7429" width="21.85546875" style="4" customWidth="1"/>
    <col min="7430" max="7430" width="22.28515625" style="4" customWidth="1"/>
    <col min="7431" max="7431" width="20.7109375" style="4" customWidth="1"/>
    <col min="7432" max="7432" width="18" style="4" customWidth="1"/>
    <col min="7433" max="7433" width="14.28515625" style="4" customWidth="1"/>
    <col min="7434" max="7434" width="19.140625" style="4" customWidth="1"/>
    <col min="7435" max="7438" width="0" style="4" hidden="1" customWidth="1"/>
    <col min="7439" max="7439" width="11.5703125" style="4" customWidth="1"/>
    <col min="7440" max="7440" width="8.140625" style="4" customWidth="1"/>
    <col min="7441" max="7441" width="21.7109375" style="4" customWidth="1"/>
    <col min="7442" max="7442" width="9.42578125" style="4" customWidth="1"/>
    <col min="7443" max="7443" width="17.140625" style="4" customWidth="1"/>
    <col min="7444" max="7444" width="17.7109375" style="4" customWidth="1"/>
    <col min="7445" max="7445" width="21.85546875" style="4" customWidth="1"/>
    <col min="7446" max="7446" width="19.85546875" style="4" customWidth="1"/>
    <col min="7447" max="7447" width="39.7109375" style="4" customWidth="1"/>
    <col min="7448" max="7448" width="23.140625" style="4" customWidth="1"/>
    <col min="7449" max="7449" width="10.7109375" style="4" customWidth="1"/>
    <col min="7450" max="7450" width="14.7109375" style="4" customWidth="1"/>
    <col min="7451" max="7451" width="10.140625" style="4" customWidth="1"/>
    <col min="7452" max="7680" width="9.140625" style="4"/>
    <col min="7681" max="7681" width="18.42578125" style="4" customWidth="1"/>
    <col min="7682" max="7682" width="19.140625" style="4" customWidth="1"/>
    <col min="7683" max="7683" width="30.5703125" style="4" customWidth="1"/>
    <col min="7684" max="7684" width="25.5703125" style="4" customWidth="1"/>
    <col min="7685" max="7685" width="21.85546875" style="4" customWidth="1"/>
    <col min="7686" max="7686" width="22.28515625" style="4" customWidth="1"/>
    <col min="7687" max="7687" width="20.7109375" style="4" customWidth="1"/>
    <col min="7688" max="7688" width="18" style="4" customWidth="1"/>
    <col min="7689" max="7689" width="14.28515625" style="4" customWidth="1"/>
    <col min="7690" max="7690" width="19.140625" style="4" customWidth="1"/>
    <col min="7691" max="7694" width="0" style="4" hidden="1" customWidth="1"/>
    <col min="7695" max="7695" width="11.5703125" style="4" customWidth="1"/>
    <col min="7696" max="7696" width="8.140625" style="4" customWidth="1"/>
    <col min="7697" max="7697" width="21.7109375" style="4" customWidth="1"/>
    <col min="7698" max="7698" width="9.42578125" style="4" customWidth="1"/>
    <col min="7699" max="7699" width="17.140625" style="4" customWidth="1"/>
    <col min="7700" max="7700" width="17.7109375" style="4" customWidth="1"/>
    <col min="7701" max="7701" width="21.85546875" style="4" customWidth="1"/>
    <col min="7702" max="7702" width="19.85546875" style="4" customWidth="1"/>
    <col min="7703" max="7703" width="39.7109375" style="4" customWidth="1"/>
    <col min="7704" max="7704" width="23.140625" style="4" customWidth="1"/>
    <col min="7705" max="7705" width="10.7109375" style="4" customWidth="1"/>
    <col min="7706" max="7706" width="14.7109375" style="4" customWidth="1"/>
    <col min="7707" max="7707" width="10.140625" style="4" customWidth="1"/>
    <col min="7708" max="7936" width="9.140625" style="4"/>
    <col min="7937" max="7937" width="18.42578125" style="4" customWidth="1"/>
    <col min="7938" max="7938" width="19.140625" style="4" customWidth="1"/>
    <col min="7939" max="7939" width="30.5703125" style="4" customWidth="1"/>
    <col min="7940" max="7940" width="25.5703125" style="4" customWidth="1"/>
    <col min="7941" max="7941" width="21.85546875" style="4" customWidth="1"/>
    <col min="7942" max="7942" width="22.28515625" style="4" customWidth="1"/>
    <col min="7943" max="7943" width="20.7109375" style="4" customWidth="1"/>
    <col min="7944" max="7944" width="18" style="4" customWidth="1"/>
    <col min="7945" max="7945" width="14.28515625" style="4" customWidth="1"/>
    <col min="7946" max="7946" width="19.140625" style="4" customWidth="1"/>
    <col min="7947" max="7950" width="0" style="4" hidden="1" customWidth="1"/>
    <col min="7951" max="7951" width="11.5703125" style="4" customWidth="1"/>
    <col min="7952" max="7952" width="8.140625" style="4" customWidth="1"/>
    <col min="7953" max="7953" width="21.7109375" style="4" customWidth="1"/>
    <col min="7954" max="7954" width="9.42578125" style="4" customWidth="1"/>
    <col min="7955" max="7955" width="17.140625" style="4" customWidth="1"/>
    <col min="7956" max="7956" width="17.7109375" style="4" customWidth="1"/>
    <col min="7957" max="7957" width="21.85546875" style="4" customWidth="1"/>
    <col min="7958" max="7958" width="19.85546875" style="4" customWidth="1"/>
    <col min="7959" max="7959" width="39.7109375" style="4" customWidth="1"/>
    <col min="7960" max="7960" width="23.140625" style="4" customWidth="1"/>
    <col min="7961" max="7961" width="10.7109375" style="4" customWidth="1"/>
    <col min="7962" max="7962" width="14.7109375" style="4" customWidth="1"/>
    <col min="7963" max="7963" width="10.140625" style="4" customWidth="1"/>
    <col min="7964" max="8192" width="9.140625" style="4"/>
    <col min="8193" max="8193" width="18.42578125" style="4" customWidth="1"/>
    <col min="8194" max="8194" width="19.140625" style="4" customWidth="1"/>
    <col min="8195" max="8195" width="30.5703125" style="4" customWidth="1"/>
    <col min="8196" max="8196" width="25.5703125" style="4" customWidth="1"/>
    <col min="8197" max="8197" width="21.85546875" style="4" customWidth="1"/>
    <col min="8198" max="8198" width="22.28515625" style="4" customWidth="1"/>
    <col min="8199" max="8199" width="20.7109375" style="4" customWidth="1"/>
    <col min="8200" max="8200" width="18" style="4" customWidth="1"/>
    <col min="8201" max="8201" width="14.28515625" style="4" customWidth="1"/>
    <col min="8202" max="8202" width="19.140625" style="4" customWidth="1"/>
    <col min="8203" max="8206" width="0" style="4" hidden="1" customWidth="1"/>
    <col min="8207" max="8207" width="11.5703125" style="4" customWidth="1"/>
    <col min="8208" max="8208" width="8.140625" style="4" customWidth="1"/>
    <col min="8209" max="8209" width="21.7109375" style="4" customWidth="1"/>
    <col min="8210" max="8210" width="9.42578125" style="4" customWidth="1"/>
    <col min="8211" max="8211" width="17.140625" style="4" customWidth="1"/>
    <col min="8212" max="8212" width="17.7109375" style="4" customWidth="1"/>
    <col min="8213" max="8213" width="21.85546875" style="4" customWidth="1"/>
    <col min="8214" max="8214" width="19.85546875" style="4" customWidth="1"/>
    <col min="8215" max="8215" width="39.7109375" style="4" customWidth="1"/>
    <col min="8216" max="8216" width="23.140625" style="4" customWidth="1"/>
    <col min="8217" max="8217" width="10.7109375" style="4" customWidth="1"/>
    <col min="8218" max="8218" width="14.7109375" style="4" customWidth="1"/>
    <col min="8219" max="8219" width="10.140625" style="4" customWidth="1"/>
    <col min="8220" max="8448" width="9.140625" style="4"/>
    <col min="8449" max="8449" width="18.42578125" style="4" customWidth="1"/>
    <col min="8450" max="8450" width="19.140625" style="4" customWidth="1"/>
    <col min="8451" max="8451" width="30.5703125" style="4" customWidth="1"/>
    <col min="8452" max="8452" width="25.5703125" style="4" customWidth="1"/>
    <col min="8453" max="8453" width="21.85546875" style="4" customWidth="1"/>
    <col min="8454" max="8454" width="22.28515625" style="4" customWidth="1"/>
    <col min="8455" max="8455" width="20.7109375" style="4" customWidth="1"/>
    <col min="8456" max="8456" width="18" style="4" customWidth="1"/>
    <col min="8457" max="8457" width="14.28515625" style="4" customWidth="1"/>
    <col min="8458" max="8458" width="19.140625" style="4" customWidth="1"/>
    <col min="8459" max="8462" width="0" style="4" hidden="1" customWidth="1"/>
    <col min="8463" max="8463" width="11.5703125" style="4" customWidth="1"/>
    <col min="8464" max="8464" width="8.140625" style="4" customWidth="1"/>
    <col min="8465" max="8465" width="21.7109375" style="4" customWidth="1"/>
    <col min="8466" max="8466" width="9.42578125" style="4" customWidth="1"/>
    <col min="8467" max="8467" width="17.140625" style="4" customWidth="1"/>
    <col min="8468" max="8468" width="17.7109375" style="4" customWidth="1"/>
    <col min="8469" max="8469" width="21.85546875" style="4" customWidth="1"/>
    <col min="8470" max="8470" width="19.85546875" style="4" customWidth="1"/>
    <col min="8471" max="8471" width="39.7109375" style="4" customWidth="1"/>
    <col min="8472" max="8472" width="23.140625" style="4" customWidth="1"/>
    <col min="8473" max="8473" width="10.7109375" style="4" customWidth="1"/>
    <col min="8474" max="8474" width="14.7109375" style="4" customWidth="1"/>
    <col min="8475" max="8475" width="10.140625" style="4" customWidth="1"/>
    <col min="8476" max="8704" width="9.140625" style="4"/>
    <col min="8705" max="8705" width="18.42578125" style="4" customWidth="1"/>
    <col min="8706" max="8706" width="19.140625" style="4" customWidth="1"/>
    <col min="8707" max="8707" width="30.5703125" style="4" customWidth="1"/>
    <col min="8708" max="8708" width="25.5703125" style="4" customWidth="1"/>
    <col min="8709" max="8709" width="21.85546875" style="4" customWidth="1"/>
    <col min="8710" max="8710" width="22.28515625" style="4" customWidth="1"/>
    <col min="8711" max="8711" width="20.7109375" style="4" customWidth="1"/>
    <col min="8712" max="8712" width="18" style="4" customWidth="1"/>
    <col min="8713" max="8713" width="14.28515625" style="4" customWidth="1"/>
    <col min="8714" max="8714" width="19.140625" style="4" customWidth="1"/>
    <col min="8715" max="8718" width="0" style="4" hidden="1" customWidth="1"/>
    <col min="8719" max="8719" width="11.5703125" style="4" customWidth="1"/>
    <col min="8720" max="8720" width="8.140625" style="4" customWidth="1"/>
    <col min="8721" max="8721" width="21.7109375" style="4" customWidth="1"/>
    <col min="8722" max="8722" width="9.42578125" style="4" customWidth="1"/>
    <col min="8723" max="8723" width="17.140625" style="4" customWidth="1"/>
    <col min="8724" max="8724" width="17.7109375" style="4" customWidth="1"/>
    <col min="8725" max="8725" width="21.85546875" style="4" customWidth="1"/>
    <col min="8726" max="8726" width="19.85546875" style="4" customWidth="1"/>
    <col min="8727" max="8727" width="39.7109375" style="4" customWidth="1"/>
    <col min="8728" max="8728" width="23.140625" style="4" customWidth="1"/>
    <col min="8729" max="8729" width="10.7109375" style="4" customWidth="1"/>
    <col min="8730" max="8730" width="14.7109375" style="4" customWidth="1"/>
    <col min="8731" max="8731" width="10.140625" style="4" customWidth="1"/>
    <col min="8732" max="8960" width="9.140625" style="4"/>
    <col min="8961" max="8961" width="18.42578125" style="4" customWidth="1"/>
    <col min="8962" max="8962" width="19.140625" style="4" customWidth="1"/>
    <col min="8963" max="8963" width="30.5703125" style="4" customWidth="1"/>
    <col min="8964" max="8964" width="25.5703125" style="4" customWidth="1"/>
    <col min="8965" max="8965" width="21.85546875" style="4" customWidth="1"/>
    <col min="8966" max="8966" width="22.28515625" style="4" customWidth="1"/>
    <col min="8967" max="8967" width="20.7109375" style="4" customWidth="1"/>
    <col min="8968" max="8968" width="18" style="4" customWidth="1"/>
    <col min="8969" max="8969" width="14.28515625" style="4" customWidth="1"/>
    <col min="8970" max="8970" width="19.140625" style="4" customWidth="1"/>
    <col min="8971" max="8974" width="0" style="4" hidden="1" customWidth="1"/>
    <col min="8975" max="8975" width="11.5703125" style="4" customWidth="1"/>
    <col min="8976" max="8976" width="8.140625" style="4" customWidth="1"/>
    <col min="8977" max="8977" width="21.7109375" style="4" customWidth="1"/>
    <col min="8978" max="8978" width="9.42578125" style="4" customWidth="1"/>
    <col min="8979" max="8979" width="17.140625" style="4" customWidth="1"/>
    <col min="8980" max="8980" width="17.7109375" style="4" customWidth="1"/>
    <col min="8981" max="8981" width="21.85546875" style="4" customWidth="1"/>
    <col min="8982" max="8982" width="19.85546875" style="4" customWidth="1"/>
    <col min="8983" max="8983" width="39.7109375" style="4" customWidth="1"/>
    <col min="8984" max="8984" width="23.140625" style="4" customWidth="1"/>
    <col min="8985" max="8985" width="10.7109375" style="4" customWidth="1"/>
    <col min="8986" max="8986" width="14.7109375" style="4" customWidth="1"/>
    <col min="8987" max="8987" width="10.140625" style="4" customWidth="1"/>
    <col min="8988" max="9216" width="9.140625" style="4"/>
    <col min="9217" max="9217" width="18.42578125" style="4" customWidth="1"/>
    <col min="9218" max="9218" width="19.140625" style="4" customWidth="1"/>
    <col min="9219" max="9219" width="30.5703125" style="4" customWidth="1"/>
    <col min="9220" max="9220" width="25.5703125" style="4" customWidth="1"/>
    <col min="9221" max="9221" width="21.85546875" style="4" customWidth="1"/>
    <col min="9222" max="9222" width="22.28515625" style="4" customWidth="1"/>
    <col min="9223" max="9223" width="20.7109375" style="4" customWidth="1"/>
    <col min="9224" max="9224" width="18" style="4" customWidth="1"/>
    <col min="9225" max="9225" width="14.28515625" style="4" customWidth="1"/>
    <col min="9226" max="9226" width="19.140625" style="4" customWidth="1"/>
    <col min="9227" max="9230" width="0" style="4" hidden="1" customWidth="1"/>
    <col min="9231" max="9231" width="11.5703125" style="4" customWidth="1"/>
    <col min="9232" max="9232" width="8.140625" style="4" customWidth="1"/>
    <col min="9233" max="9233" width="21.7109375" style="4" customWidth="1"/>
    <col min="9234" max="9234" width="9.42578125" style="4" customWidth="1"/>
    <col min="9235" max="9235" width="17.140625" style="4" customWidth="1"/>
    <col min="9236" max="9236" width="17.7109375" style="4" customWidth="1"/>
    <col min="9237" max="9237" width="21.85546875" style="4" customWidth="1"/>
    <col min="9238" max="9238" width="19.85546875" style="4" customWidth="1"/>
    <col min="9239" max="9239" width="39.7109375" style="4" customWidth="1"/>
    <col min="9240" max="9240" width="23.140625" style="4" customWidth="1"/>
    <col min="9241" max="9241" width="10.7109375" style="4" customWidth="1"/>
    <col min="9242" max="9242" width="14.7109375" style="4" customWidth="1"/>
    <col min="9243" max="9243" width="10.140625" style="4" customWidth="1"/>
    <col min="9244" max="9472" width="9.140625" style="4"/>
    <col min="9473" max="9473" width="18.42578125" style="4" customWidth="1"/>
    <col min="9474" max="9474" width="19.140625" style="4" customWidth="1"/>
    <col min="9475" max="9475" width="30.5703125" style="4" customWidth="1"/>
    <col min="9476" max="9476" width="25.5703125" style="4" customWidth="1"/>
    <col min="9477" max="9477" width="21.85546875" style="4" customWidth="1"/>
    <col min="9478" max="9478" width="22.28515625" style="4" customWidth="1"/>
    <col min="9479" max="9479" width="20.7109375" style="4" customWidth="1"/>
    <col min="9480" max="9480" width="18" style="4" customWidth="1"/>
    <col min="9481" max="9481" width="14.28515625" style="4" customWidth="1"/>
    <col min="9482" max="9482" width="19.140625" style="4" customWidth="1"/>
    <col min="9483" max="9486" width="0" style="4" hidden="1" customWidth="1"/>
    <col min="9487" max="9487" width="11.5703125" style="4" customWidth="1"/>
    <col min="9488" max="9488" width="8.140625" style="4" customWidth="1"/>
    <col min="9489" max="9489" width="21.7109375" style="4" customWidth="1"/>
    <col min="9490" max="9490" width="9.42578125" style="4" customWidth="1"/>
    <col min="9491" max="9491" width="17.140625" style="4" customWidth="1"/>
    <col min="9492" max="9492" width="17.7109375" style="4" customWidth="1"/>
    <col min="9493" max="9493" width="21.85546875" style="4" customWidth="1"/>
    <col min="9494" max="9494" width="19.85546875" style="4" customWidth="1"/>
    <col min="9495" max="9495" width="39.7109375" style="4" customWidth="1"/>
    <col min="9496" max="9496" width="23.140625" style="4" customWidth="1"/>
    <col min="9497" max="9497" width="10.7109375" style="4" customWidth="1"/>
    <col min="9498" max="9498" width="14.7109375" style="4" customWidth="1"/>
    <col min="9499" max="9499" width="10.140625" style="4" customWidth="1"/>
    <col min="9500" max="9728" width="9.140625" style="4"/>
    <col min="9729" max="9729" width="18.42578125" style="4" customWidth="1"/>
    <col min="9730" max="9730" width="19.140625" style="4" customWidth="1"/>
    <col min="9731" max="9731" width="30.5703125" style="4" customWidth="1"/>
    <col min="9732" max="9732" width="25.5703125" style="4" customWidth="1"/>
    <col min="9733" max="9733" width="21.85546875" style="4" customWidth="1"/>
    <col min="9734" max="9734" width="22.28515625" style="4" customWidth="1"/>
    <col min="9735" max="9735" width="20.7109375" style="4" customWidth="1"/>
    <col min="9736" max="9736" width="18" style="4" customWidth="1"/>
    <col min="9737" max="9737" width="14.28515625" style="4" customWidth="1"/>
    <col min="9738" max="9738" width="19.140625" style="4" customWidth="1"/>
    <col min="9739" max="9742" width="0" style="4" hidden="1" customWidth="1"/>
    <col min="9743" max="9743" width="11.5703125" style="4" customWidth="1"/>
    <col min="9744" max="9744" width="8.140625" style="4" customWidth="1"/>
    <col min="9745" max="9745" width="21.7109375" style="4" customWidth="1"/>
    <col min="9746" max="9746" width="9.42578125" style="4" customWidth="1"/>
    <col min="9747" max="9747" width="17.140625" style="4" customWidth="1"/>
    <col min="9748" max="9748" width="17.7109375" style="4" customWidth="1"/>
    <col min="9749" max="9749" width="21.85546875" style="4" customWidth="1"/>
    <col min="9750" max="9750" width="19.85546875" style="4" customWidth="1"/>
    <col min="9751" max="9751" width="39.7109375" style="4" customWidth="1"/>
    <col min="9752" max="9752" width="23.140625" style="4" customWidth="1"/>
    <col min="9753" max="9753" width="10.7109375" style="4" customWidth="1"/>
    <col min="9754" max="9754" width="14.7109375" style="4" customWidth="1"/>
    <col min="9755" max="9755" width="10.140625" style="4" customWidth="1"/>
    <col min="9756" max="9984" width="9.140625" style="4"/>
    <col min="9985" max="9985" width="18.42578125" style="4" customWidth="1"/>
    <col min="9986" max="9986" width="19.140625" style="4" customWidth="1"/>
    <col min="9987" max="9987" width="30.5703125" style="4" customWidth="1"/>
    <col min="9988" max="9988" width="25.5703125" style="4" customWidth="1"/>
    <col min="9989" max="9989" width="21.85546875" style="4" customWidth="1"/>
    <col min="9990" max="9990" width="22.28515625" style="4" customWidth="1"/>
    <col min="9991" max="9991" width="20.7109375" style="4" customWidth="1"/>
    <col min="9992" max="9992" width="18" style="4" customWidth="1"/>
    <col min="9993" max="9993" width="14.28515625" style="4" customWidth="1"/>
    <col min="9994" max="9994" width="19.140625" style="4" customWidth="1"/>
    <col min="9995" max="9998" width="0" style="4" hidden="1" customWidth="1"/>
    <col min="9999" max="9999" width="11.5703125" style="4" customWidth="1"/>
    <col min="10000" max="10000" width="8.140625" style="4" customWidth="1"/>
    <col min="10001" max="10001" width="21.7109375" style="4" customWidth="1"/>
    <col min="10002" max="10002" width="9.42578125" style="4" customWidth="1"/>
    <col min="10003" max="10003" width="17.140625" style="4" customWidth="1"/>
    <col min="10004" max="10004" width="17.7109375" style="4" customWidth="1"/>
    <col min="10005" max="10005" width="21.85546875" style="4" customWidth="1"/>
    <col min="10006" max="10006" width="19.85546875" style="4" customWidth="1"/>
    <col min="10007" max="10007" width="39.7109375" style="4" customWidth="1"/>
    <col min="10008" max="10008" width="23.140625" style="4" customWidth="1"/>
    <col min="10009" max="10009" width="10.7109375" style="4" customWidth="1"/>
    <col min="10010" max="10010" width="14.7109375" style="4" customWidth="1"/>
    <col min="10011" max="10011" width="10.140625" style="4" customWidth="1"/>
    <col min="10012" max="10240" width="9.140625" style="4"/>
    <col min="10241" max="10241" width="18.42578125" style="4" customWidth="1"/>
    <col min="10242" max="10242" width="19.140625" style="4" customWidth="1"/>
    <col min="10243" max="10243" width="30.5703125" style="4" customWidth="1"/>
    <col min="10244" max="10244" width="25.5703125" style="4" customWidth="1"/>
    <col min="10245" max="10245" width="21.85546875" style="4" customWidth="1"/>
    <col min="10246" max="10246" width="22.28515625" style="4" customWidth="1"/>
    <col min="10247" max="10247" width="20.7109375" style="4" customWidth="1"/>
    <col min="10248" max="10248" width="18" style="4" customWidth="1"/>
    <col min="10249" max="10249" width="14.28515625" style="4" customWidth="1"/>
    <col min="10250" max="10250" width="19.140625" style="4" customWidth="1"/>
    <col min="10251" max="10254" width="0" style="4" hidden="1" customWidth="1"/>
    <col min="10255" max="10255" width="11.5703125" style="4" customWidth="1"/>
    <col min="10256" max="10256" width="8.140625" style="4" customWidth="1"/>
    <col min="10257" max="10257" width="21.7109375" style="4" customWidth="1"/>
    <col min="10258" max="10258" width="9.42578125" style="4" customWidth="1"/>
    <col min="10259" max="10259" width="17.140625" style="4" customWidth="1"/>
    <col min="10260" max="10260" width="17.7109375" style="4" customWidth="1"/>
    <col min="10261" max="10261" width="21.85546875" style="4" customWidth="1"/>
    <col min="10262" max="10262" width="19.85546875" style="4" customWidth="1"/>
    <col min="10263" max="10263" width="39.7109375" style="4" customWidth="1"/>
    <col min="10264" max="10264" width="23.140625" style="4" customWidth="1"/>
    <col min="10265" max="10265" width="10.7109375" style="4" customWidth="1"/>
    <col min="10266" max="10266" width="14.7109375" style="4" customWidth="1"/>
    <col min="10267" max="10267" width="10.140625" style="4" customWidth="1"/>
    <col min="10268" max="10496" width="9.140625" style="4"/>
    <col min="10497" max="10497" width="18.42578125" style="4" customWidth="1"/>
    <col min="10498" max="10498" width="19.140625" style="4" customWidth="1"/>
    <col min="10499" max="10499" width="30.5703125" style="4" customWidth="1"/>
    <col min="10500" max="10500" width="25.5703125" style="4" customWidth="1"/>
    <col min="10501" max="10501" width="21.85546875" style="4" customWidth="1"/>
    <col min="10502" max="10502" width="22.28515625" style="4" customWidth="1"/>
    <col min="10503" max="10503" width="20.7109375" style="4" customWidth="1"/>
    <col min="10504" max="10504" width="18" style="4" customWidth="1"/>
    <col min="10505" max="10505" width="14.28515625" style="4" customWidth="1"/>
    <col min="10506" max="10506" width="19.140625" style="4" customWidth="1"/>
    <col min="10507" max="10510" width="0" style="4" hidden="1" customWidth="1"/>
    <col min="10511" max="10511" width="11.5703125" style="4" customWidth="1"/>
    <col min="10512" max="10512" width="8.140625" style="4" customWidth="1"/>
    <col min="10513" max="10513" width="21.7109375" style="4" customWidth="1"/>
    <col min="10514" max="10514" width="9.42578125" style="4" customWidth="1"/>
    <col min="10515" max="10515" width="17.140625" style="4" customWidth="1"/>
    <col min="10516" max="10516" width="17.7109375" style="4" customWidth="1"/>
    <col min="10517" max="10517" width="21.85546875" style="4" customWidth="1"/>
    <col min="10518" max="10518" width="19.85546875" style="4" customWidth="1"/>
    <col min="10519" max="10519" width="39.7109375" style="4" customWidth="1"/>
    <col min="10520" max="10520" width="23.140625" style="4" customWidth="1"/>
    <col min="10521" max="10521" width="10.7109375" style="4" customWidth="1"/>
    <col min="10522" max="10522" width="14.7109375" style="4" customWidth="1"/>
    <col min="10523" max="10523" width="10.140625" style="4" customWidth="1"/>
    <col min="10524" max="10752" width="9.140625" style="4"/>
    <col min="10753" max="10753" width="18.42578125" style="4" customWidth="1"/>
    <col min="10754" max="10754" width="19.140625" style="4" customWidth="1"/>
    <col min="10755" max="10755" width="30.5703125" style="4" customWidth="1"/>
    <col min="10756" max="10756" width="25.5703125" style="4" customWidth="1"/>
    <col min="10757" max="10757" width="21.85546875" style="4" customWidth="1"/>
    <col min="10758" max="10758" width="22.28515625" style="4" customWidth="1"/>
    <col min="10759" max="10759" width="20.7109375" style="4" customWidth="1"/>
    <col min="10760" max="10760" width="18" style="4" customWidth="1"/>
    <col min="10761" max="10761" width="14.28515625" style="4" customWidth="1"/>
    <col min="10762" max="10762" width="19.140625" style="4" customWidth="1"/>
    <col min="10763" max="10766" width="0" style="4" hidden="1" customWidth="1"/>
    <col min="10767" max="10767" width="11.5703125" style="4" customWidth="1"/>
    <col min="10768" max="10768" width="8.140625" style="4" customWidth="1"/>
    <col min="10769" max="10769" width="21.7109375" style="4" customWidth="1"/>
    <col min="10770" max="10770" width="9.42578125" style="4" customWidth="1"/>
    <col min="10771" max="10771" width="17.140625" style="4" customWidth="1"/>
    <col min="10772" max="10772" width="17.7109375" style="4" customWidth="1"/>
    <col min="10773" max="10773" width="21.85546875" style="4" customWidth="1"/>
    <col min="10774" max="10774" width="19.85546875" style="4" customWidth="1"/>
    <col min="10775" max="10775" width="39.7109375" style="4" customWidth="1"/>
    <col min="10776" max="10776" width="23.140625" style="4" customWidth="1"/>
    <col min="10777" max="10777" width="10.7109375" style="4" customWidth="1"/>
    <col min="10778" max="10778" width="14.7109375" style="4" customWidth="1"/>
    <col min="10779" max="10779" width="10.140625" style="4" customWidth="1"/>
    <col min="10780" max="11008" width="9.140625" style="4"/>
    <col min="11009" max="11009" width="18.42578125" style="4" customWidth="1"/>
    <col min="11010" max="11010" width="19.140625" style="4" customWidth="1"/>
    <col min="11011" max="11011" width="30.5703125" style="4" customWidth="1"/>
    <col min="11012" max="11012" width="25.5703125" style="4" customWidth="1"/>
    <col min="11013" max="11013" width="21.85546875" style="4" customWidth="1"/>
    <col min="11014" max="11014" width="22.28515625" style="4" customWidth="1"/>
    <col min="11015" max="11015" width="20.7109375" style="4" customWidth="1"/>
    <col min="11016" max="11016" width="18" style="4" customWidth="1"/>
    <col min="11017" max="11017" width="14.28515625" style="4" customWidth="1"/>
    <col min="11018" max="11018" width="19.140625" style="4" customWidth="1"/>
    <col min="11019" max="11022" width="0" style="4" hidden="1" customWidth="1"/>
    <col min="11023" max="11023" width="11.5703125" style="4" customWidth="1"/>
    <col min="11024" max="11024" width="8.140625" style="4" customWidth="1"/>
    <col min="11025" max="11025" width="21.7109375" style="4" customWidth="1"/>
    <col min="11026" max="11026" width="9.42578125" style="4" customWidth="1"/>
    <col min="11027" max="11027" width="17.140625" style="4" customWidth="1"/>
    <col min="11028" max="11028" width="17.7109375" style="4" customWidth="1"/>
    <col min="11029" max="11029" width="21.85546875" style="4" customWidth="1"/>
    <col min="11030" max="11030" width="19.85546875" style="4" customWidth="1"/>
    <col min="11031" max="11031" width="39.7109375" style="4" customWidth="1"/>
    <col min="11032" max="11032" width="23.140625" style="4" customWidth="1"/>
    <col min="11033" max="11033" width="10.7109375" style="4" customWidth="1"/>
    <col min="11034" max="11034" width="14.7109375" style="4" customWidth="1"/>
    <col min="11035" max="11035" width="10.140625" style="4" customWidth="1"/>
    <col min="11036" max="11264" width="9.140625" style="4"/>
    <col min="11265" max="11265" width="18.42578125" style="4" customWidth="1"/>
    <col min="11266" max="11266" width="19.140625" style="4" customWidth="1"/>
    <col min="11267" max="11267" width="30.5703125" style="4" customWidth="1"/>
    <col min="11268" max="11268" width="25.5703125" style="4" customWidth="1"/>
    <col min="11269" max="11269" width="21.85546875" style="4" customWidth="1"/>
    <col min="11270" max="11270" width="22.28515625" style="4" customWidth="1"/>
    <col min="11271" max="11271" width="20.7109375" style="4" customWidth="1"/>
    <col min="11272" max="11272" width="18" style="4" customWidth="1"/>
    <col min="11273" max="11273" width="14.28515625" style="4" customWidth="1"/>
    <col min="11274" max="11274" width="19.140625" style="4" customWidth="1"/>
    <col min="11275" max="11278" width="0" style="4" hidden="1" customWidth="1"/>
    <col min="11279" max="11279" width="11.5703125" style="4" customWidth="1"/>
    <col min="11280" max="11280" width="8.140625" style="4" customWidth="1"/>
    <col min="11281" max="11281" width="21.7109375" style="4" customWidth="1"/>
    <col min="11282" max="11282" width="9.42578125" style="4" customWidth="1"/>
    <col min="11283" max="11283" width="17.140625" style="4" customWidth="1"/>
    <col min="11284" max="11284" width="17.7109375" style="4" customWidth="1"/>
    <col min="11285" max="11285" width="21.85546875" style="4" customWidth="1"/>
    <col min="11286" max="11286" width="19.85546875" style="4" customWidth="1"/>
    <col min="11287" max="11287" width="39.7109375" style="4" customWidth="1"/>
    <col min="11288" max="11288" width="23.140625" style="4" customWidth="1"/>
    <col min="11289" max="11289" width="10.7109375" style="4" customWidth="1"/>
    <col min="11290" max="11290" width="14.7109375" style="4" customWidth="1"/>
    <col min="11291" max="11291" width="10.140625" style="4" customWidth="1"/>
    <col min="11292" max="11520" width="9.140625" style="4"/>
    <col min="11521" max="11521" width="18.42578125" style="4" customWidth="1"/>
    <col min="11522" max="11522" width="19.140625" style="4" customWidth="1"/>
    <col min="11523" max="11523" width="30.5703125" style="4" customWidth="1"/>
    <col min="11524" max="11524" width="25.5703125" style="4" customWidth="1"/>
    <col min="11525" max="11525" width="21.85546875" style="4" customWidth="1"/>
    <col min="11526" max="11526" width="22.28515625" style="4" customWidth="1"/>
    <col min="11527" max="11527" width="20.7109375" style="4" customWidth="1"/>
    <col min="11528" max="11528" width="18" style="4" customWidth="1"/>
    <col min="11529" max="11529" width="14.28515625" style="4" customWidth="1"/>
    <col min="11530" max="11530" width="19.140625" style="4" customWidth="1"/>
    <col min="11531" max="11534" width="0" style="4" hidden="1" customWidth="1"/>
    <col min="11535" max="11535" width="11.5703125" style="4" customWidth="1"/>
    <col min="11536" max="11536" width="8.140625" style="4" customWidth="1"/>
    <col min="11537" max="11537" width="21.7109375" style="4" customWidth="1"/>
    <col min="11538" max="11538" width="9.42578125" style="4" customWidth="1"/>
    <col min="11539" max="11539" width="17.140625" style="4" customWidth="1"/>
    <col min="11540" max="11540" width="17.7109375" style="4" customWidth="1"/>
    <col min="11541" max="11541" width="21.85546875" style="4" customWidth="1"/>
    <col min="11542" max="11542" width="19.85546875" style="4" customWidth="1"/>
    <col min="11543" max="11543" width="39.7109375" style="4" customWidth="1"/>
    <col min="11544" max="11544" width="23.140625" style="4" customWidth="1"/>
    <col min="11545" max="11545" width="10.7109375" style="4" customWidth="1"/>
    <col min="11546" max="11546" width="14.7109375" style="4" customWidth="1"/>
    <col min="11547" max="11547" width="10.140625" style="4" customWidth="1"/>
    <col min="11548" max="11776" width="9.140625" style="4"/>
    <col min="11777" max="11777" width="18.42578125" style="4" customWidth="1"/>
    <col min="11778" max="11778" width="19.140625" style="4" customWidth="1"/>
    <col min="11779" max="11779" width="30.5703125" style="4" customWidth="1"/>
    <col min="11780" max="11780" width="25.5703125" style="4" customWidth="1"/>
    <col min="11781" max="11781" width="21.85546875" style="4" customWidth="1"/>
    <col min="11782" max="11782" width="22.28515625" style="4" customWidth="1"/>
    <col min="11783" max="11783" width="20.7109375" style="4" customWidth="1"/>
    <col min="11784" max="11784" width="18" style="4" customWidth="1"/>
    <col min="11785" max="11785" width="14.28515625" style="4" customWidth="1"/>
    <col min="11786" max="11786" width="19.140625" style="4" customWidth="1"/>
    <col min="11787" max="11790" width="0" style="4" hidden="1" customWidth="1"/>
    <col min="11791" max="11791" width="11.5703125" style="4" customWidth="1"/>
    <col min="11792" max="11792" width="8.140625" style="4" customWidth="1"/>
    <col min="11793" max="11793" width="21.7109375" style="4" customWidth="1"/>
    <col min="11794" max="11794" width="9.42578125" style="4" customWidth="1"/>
    <col min="11795" max="11795" width="17.140625" style="4" customWidth="1"/>
    <col min="11796" max="11796" width="17.7109375" style="4" customWidth="1"/>
    <col min="11797" max="11797" width="21.85546875" style="4" customWidth="1"/>
    <col min="11798" max="11798" width="19.85546875" style="4" customWidth="1"/>
    <col min="11799" max="11799" width="39.7109375" style="4" customWidth="1"/>
    <col min="11800" max="11800" width="23.140625" style="4" customWidth="1"/>
    <col min="11801" max="11801" width="10.7109375" style="4" customWidth="1"/>
    <col min="11802" max="11802" width="14.7109375" style="4" customWidth="1"/>
    <col min="11803" max="11803" width="10.140625" style="4" customWidth="1"/>
    <col min="11804" max="12032" width="9.140625" style="4"/>
    <col min="12033" max="12033" width="18.42578125" style="4" customWidth="1"/>
    <col min="12034" max="12034" width="19.140625" style="4" customWidth="1"/>
    <col min="12035" max="12035" width="30.5703125" style="4" customWidth="1"/>
    <col min="12036" max="12036" width="25.5703125" style="4" customWidth="1"/>
    <col min="12037" max="12037" width="21.85546875" style="4" customWidth="1"/>
    <col min="12038" max="12038" width="22.28515625" style="4" customWidth="1"/>
    <col min="12039" max="12039" width="20.7109375" style="4" customWidth="1"/>
    <col min="12040" max="12040" width="18" style="4" customWidth="1"/>
    <col min="12041" max="12041" width="14.28515625" style="4" customWidth="1"/>
    <col min="12042" max="12042" width="19.140625" style="4" customWidth="1"/>
    <col min="12043" max="12046" width="0" style="4" hidden="1" customWidth="1"/>
    <col min="12047" max="12047" width="11.5703125" style="4" customWidth="1"/>
    <col min="12048" max="12048" width="8.140625" style="4" customWidth="1"/>
    <col min="12049" max="12049" width="21.7109375" style="4" customWidth="1"/>
    <col min="12050" max="12050" width="9.42578125" style="4" customWidth="1"/>
    <col min="12051" max="12051" width="17.140625" style="4" customWidth="1"/>
    <col min="12052" max="12052" width="17.7109375" style="4" customWidth="1"/>
    <col min="12053" max="12053" width="21.85546875" style="4" customWidth="1"/>
    <col min="12054" max="12054" width="19.85546875" style="4" customWidth="1"/>
    <col min="12055" max="12055" width="39.7109375" style="4" customWidth="1"/>
    <col min="12056" max="12056" width="23.140625" style="4" customWidth="1"/>
    <col min="12057" max="12057" width="10.7109375" style="4" customWidth="1"/>
    <col min="12058" max="12058" width="14.7109375" style="4" customWidth="1"/>
    <col min="12059" max="12059" width="10.140625" style="4" customWidth="1"/>
    <col min="12060" max="12288" width="9.140625" style="4"/>
    <col min="12289" max="12289" width="18.42578125" style="4" customWidth="1"/>
    <col min="12290" max="12290" width="19.140625" style="4" customWidth="1"/>
    <col min="12291" max="12291" width="30.5703125" style="4" customWidth="1"/>
    <col min="12292" max="12292" width="25.5703125" style="4" customWidth="1"/>
    <col min="12293" max="12293" width="21.85546875" style="4" customWidth="1"/>
    <col min="12294" max="12294" width="22.28515625" style="4" customWidth="1"/>
    <col min="12295" max="12295" width="20.7109375" style="4" customWidth="1"/>
    <col min="12296" max="12296" width="18" style="4" customWidth="1"/>
    <col min="12297" max="12297" width="14.28515625" style="4" customWidth="1"/>
    <col min="12298" max="12298" width="19.140625" style="4" customWidth="1"/>
    <col min="12299" max="12302" width="0" style="4" hidden="1" customWidth="1"/>
    <col min="12303" max="12303" width="11.5703125" style="4" customWidth="1"/>
    <col min="12304" max="12304" width="8.140625" style="4" customWidth="1"/>
    <col min="12305" max="12305" width="21.7109375" style="4" customWidth="1"/>
    <col min="12306" max="12306" width="9.42578125" style="4" customWidth="1"/>
    <col min="12307" max="12307" width="17.140625" style="4" customWidth="1"/>
    <col min="12308" max="12308" width="17.7109375" style="4" customWidth="1"/>
    <col min="12309" max="12309" width="21.85546875" style="4" customWidth="1"/>
    <col min="12310" max="12310" width="19.85546875" style="4" customWidth="1"/>
    <col min="12311" max="12311" width="39.7109375" style="4" customWidth="1"/>
    <col min="12312" max="12312" width="23.140625" style="4" customWidth="1"/>
    <col min="12313" max="12313" width="10.7109375" style="4" customWidth="1"/>
    <col min="12314" max="12314" width="14.7109375" style="4" customWidth="1"/>
    <col min="12315" max="12315" width="10.140625" style="4" customWidth="1"/>
    <col min="12316" max="12544" width="9.140625" style="4"/>
    <col min="12545" max="12545" width="18.42578125" style="4" customWidth="1"/>
    <col min="12546" max="12546" width="19.140625" style="4" customWidth="1"/>
    <col min="12547" max="12547" width="30.5703125" style="4" customWidth="1"/>
    <col min="12548" max="12548" width="25.5703125" style="4" customWidth="1"/>
    <col min="12549" max="12549" width="21.85546875" style="4" customWidth="1"/>
    <col min="12550" max="12550" width="22.28515625" style="4" customWidth="1"/>
    <col min="12551" max="12551" width="20.7109375" style="4" customWidth="1"/>
    <col min="12552" max="12552" width="18" style="4" customWidth="1"/>
    <col min="12553" max="12553" width="14.28515625" style="4" customWidth="1"/>
    <col min="12554" max="12554" width="19.140625" style="4" customWidth="1"/>
    <col min="12555" max="12558" width="0" style="4" hidden="1" customWidth="1"/>
    <col min="12559" max="12559" width="11.5703125" style="4" customWidth="1"/>
    <col min="12560" max="12560" width="8.140625" style="4" customWidth="1"/>
    <col min="12561" max="12561" width="21.7109375" style="4" customWidth="1"/>
    <col min="12562" max="12562" width="9.42578125" style="4" customWidth="1"/>
    <col min="12563" max="12563" width="17.140625" style="4" customWidth="1"/>
    <col min="12564" max="12564" width="17.7109375" style="4" customWidth="1"/>
    <col min="12565" max="12565" width="21.85546875" style="4" customWidth="1"/>
    <col min="12566" max="12566" width="19.85546875" style="4" customWidth="1"/>
    <col min="12567" max="12567" width="39.7109375" style="4" customWidth="1"/>
    <col min="12568" max="12568" width="23.140625" style="4" customWidth="1"/>
    <col min="12569" max="12569" width="10.7109375" style="4" customWidth="1"/>
    <col min="12570" max="12570" width="14.7109375" style="4" customWidth="1"/>
    <col min="12571" max="12571" width="10.140625" style="4" customWidth="1"/>
    <col min="12572" max="12800" width="9.140625" style="4"/>
    <col min="12801" max="12801" width="18.42578125" style="4" customWidth="1"/>
    <col min="12802" max="12802" width="19.140625" style="4" customWidth="1"/>
    <col min="12803" max="12803" width="30.5703125" style="4" customWidth="1"/>
    <col min="12804" max="12804" width="25.5703125" style="4" customWidth="1"/>
    <col min="12805" max="12805" width="21.85546875" style="4" customWidth="1"/>
    <col min="12806" max="12806" width="22.28515625" style="4" customWidth="1"/>
    <col min="12807" max="12807" width="20.7109375" style="4" customWidth="1"/>
    <col min="12808" max="12808" width="18" style="4" customWidth="1"/>
    <col min="12809" max="12809" width="14.28515625" style="4" customWidth="1"/>
    <col min="12810" max="12810" width="19.140625" style="4" customWidth="1"/>
    <col min="12811" max="12814" width="0" style="4" hidden="1" customWidth="1"/>
    <col min="12815" max="12815" width="11.5703125" style="4" customWidth="1"/>
    <col min="12816" max="12816" width="8.140625" style="4" customWidth="1"/>
    <col min="12817" max="12817" width="21.7109375" style="4" customWidth="1"/>
    <col min="12818" max="12818" width="9.42578125" style="4" customWidth="1"/>
    <col min="12819" max="12819" width="17.140625" style="4" customWidth="1"/>
    <col min="12820" max="12820" width="17.7109375" style="4" customWidth="1"/>
    <col min="12821" max="12821" width="21.85546875" style="4" customWidth="1"/>
    <col min="12822" max="12822" width="19.85546875" style="4" customWidth="1"/>
    <col min="12823" max="12823" width="39.7109375" style="4" customWidth="1"/>
    <col min="12824" max="12824" width="23.140625" style="4" customWidth="1"/>
    <col min="12825" max="12825" width="10.7109375" style="4" customWidth="1"/>
    <col min="12826" max="12826" width="14.7109375" style="4" customWidth="1"/>
    <col min="12827" max="12827" width="10.140625" style="4" customWidth="1"/>
    <col min="12828" max="13056" width="9.140625" style="4"/>
    <col min="13057" max="13057" width="18.42578125" style="4" customWidth="1"/>
    <col min="13058" max="13058" width="19.140625" style="4" customWidth="1"/>
    <col min="13059" max="13059" width="30.5703125" style="4" customWidth="1"/>
    <col min="13060" max="13060" width="25.5703125" style="4" customWidth="1"/>
    <col min="13061" max="13061" width="21.85546875" style="4" customWidth="1"/>
    <col min="13062" max="13062" width="22.28515625" style="4" customWidth="1"/>
    <col min="13063" max="13063" width="20.7109375" style="4" customWidth="1"/>
    <col min="13064" max="13064" width="18" style="4" customWidth="1"/>
    <col min="13065" max="13065" width="14.28515625" style="4" customWidth="1"/>
    <col min="13066" max="13066" width="19.140625" style="4" customWidth="1"/>
    <col min="13067" max="13070" width="0" style="4" hidden="1" customWidth="1"/>
    <col min="13071" max="13071" width="11.5703125" style="4" customWidth="1"/>
    <col min="13072" max="13072" width="8.140625" style="4" customWidth="1"/>
    <col min="13073" max="13073" width="21.7109375" style="4" customWidth="1"/>
    <col min="13074" max="13074" width="9.42578125" style="4" customWidth="1"/>
    <col min="13075" max="13075" width="17.140625" style="4" customWidth="1"/>
    <col min="13076" max="13076" width="17.7109375" style="4" customWidth="1"/>
    <col min="13077" max="13077" width="21.85546875" style="4" customWidth="1"/>
    <col min="13078" max="13078" width="19.85546875" style="4" customWidth="1"/>
    <col min="13079" max="13079" width="39.7109375" style="4" customWidth="1"/>
    <col min="13080" max="13080" width="23.140625" style="4" customWidth="1"/>
    <col min="13081" max="13081" width="10.7109375" style="4" customWidth="1"/>
    <col min="13082" max="13082" width="14.7109375" style="4" customWidth="1"/>
    <col min="13083" max="13083" width="10.140625" style="4" customWidth="1"/>
    <col min="13084" max="13312" width="9.140625" style="4"/>
    <col min="13313" max="13313" width="18.42578125" style="4" customWidth="1"/>
    <col min="13314" max="13314" width="19.140625" style="4" customWidth="1"/>
    <col min="13315" max="13315" width="30.5703125" style="4" customWidth="1"/>
    <col min="13316" max="13316" width="25.5703125" style="4" customWidth="1"/>
    <col min="13317" max="13317" width="21.85546875" style="4" customWidth="1"/>
    <col min="13318" max="13318" width="22.28515625" style="4" customWidth="1"/>
    <col min="13319" max="13319" width="20.7109375" style="4" customWidth="1"/>
    <col min="13320" max="13320" width="18" style="4" customWidth="1"/>
    <col min="13321" max="13321" width="14.28515625" style="4" customWidth="1"/>
    <col min="13322" max="13322" width="19.140625" style="4" customWidth="1"/>
    <col min="13323" max="13326" width="0" style="4" hidden="1" customWidth="1"/>
    <col min="13327" max="13327" width="11.5703125" style="4" customWidth="1"/>
    <col min="13328" max="13328" width="8.140625" style="4" customWidth="1"/>
    <col min="13329" max="13329" width="21.7109375" style="4" customWidth="1"/>
    <col min="13330" max="13330" width="9.42578125" style="4" customWidth="1"/>
    <col min="13331" max="13331" width="17.140625" style="4" customWidth="1"/>
    <col min="13332" max="13332" width="17.7109375" style="4" customWidth="1"/>
    <col min="13333" max="13333" width="21.85546875" style="4" customWidth="1"/>
    <col min="13334" max="13334" width="19.85546875" style="4" customWidth="1"/>
    <col min="13335" max="13335" width="39.7109375" style="4" customWidth="1"/>
    <col min="13336" max="13336" width="23.140625" style="4" customWidth="1"/>
    <col min="13337" max="13337" width="10.7109375" style="4" customWidth="1"/>
    <col min="13338" max="13338" width="14.7109375" style="4" customWidth="1"/>
    <col min="13339" max="13339" width="10.140625" style="4" customWidth="1"/>
    <col min="13340" max="13568" width="9.140625" style="4"/>
    <col min="13569" max="13569" width="18.42578125" style="4" customWidth="1"/>
    <col min="13570" max="13570" width="19.140625" style="4" customWidth="1"/>
    <col min="13571" max="13571" width="30.5703125" style="4" customWidth="1"/>
    <col min="13572" max="13572" width="25.5703125" style="4" customWidth="1"/>
    <col min="13573" max="13573" width="21.85546875" style="4" customWidth="1"/>
    <col min="13574" max="13574" width="22.28515625" style="4" customWidth="1"/>
    <col min="13575" max="13575" width="20.7109375" style="4" customWidth="1"/>
    <col min="13576" max="13576" width="18" style="4" customWidth="1"/>
    <col min="13577" max="13577" width="14.28515625" style="4" customWidth="1"/>
    <col min="13578" max="13578" width="19.140625" style="4" customWidth="1"/>
    <col min="13579" max="13582" width="0" style="4" hidden="1" customWidth="1"/>
    <col min="13583" max="13583" width="11.5703125" style="4" customWidth="1"/>
    <col min="13584" max="13584" width="8.140625" style="4" customWidth="1"/>
    <col min="13585" max="13585" width="21.7109375" style="4" customWidth="1"/>
    <col min="13586" max="13586" width="9.42578125" style="4" customWidth="1"/>
    <col min="13587" max="13587" width="17.140625" style="4" customWidth="1"/>
    <col min="13588" max="13588" width="17.7109375" style="4" customWidth="1"/>
    <col min="13589" max="13589" width="21.85546875" style="4" customWidth="1"/>
    <col min="13590" max="13590" width="19.85546875" style="4" customWidth="1"/>
    <col min="13591" max="13591" width="39.7109375" style="4" customWidth="1"/>
    <col min="13592" max="13592" width="23.140625" style="4" customWidth="1"/>
    <col min="13593" max="13593" width="10.7109375" style="4" customWidth="1"/>
    <col min="13594" max="13594" width="14.7109375" style="4" customWidth="1"/>
    <col min="13595" max="13595" width="10.140625" style="4" customWidth="1"/>
    <col min="13596" max="13824" width="9.140625" style="4"/>
    <col min="13825" max="13825" width="18.42578125" style="4" customWidth="1"/>
    <col min="13826" max="13826" width="19.140625" style="4" customWidth="1"/>
    <col min="13827" max="13827" width="30.5703125" style="4" customWidth="1"/>
    <col min="13828" max="13828" width="25.5703125" style="4" customWidth="1"/>
    <col min="13829" max="13829" width="21.85546875" style="4" customWidth="1"/>
    <col min="13830" max="13830" width="22.28515625" style="4" customWidth="1"/>
    <col min="13831" max="13831" width="20.7109375" style="4" customWidth="1"/>
    <col min="13832" max="13832" width="18" style="4" customWidth="1"/>
    <col min="13833" max="13833" width="14.28515625" style="4" customWidth="1"/>
    <col min="13834" max="13834" width="19.140625" style="4" customWidth="1"/>
    <col min="13835" max="13838" width="0" style="4" hidden="1" customWidth="1"/>
    <col min="13839" max="13839" width="11.5703125" style="4" customWidth="1"/>
    <col min="13840" max="13840" width="8.140625" style="4" customWidth="1"/>
    <col min="13841" max="13841" width="21.7109375" style="4" customWidth="1"/>
    <col min="13842" max="13842" width="9.42578125" style="4" customWidth="1"/>
    <col min="13843" max="13843" width="17.140625" style="4" customWidth="1"/>
    <col min="13844" max="13844" width="17.7109375" style="4" customWidth="1"/>
    <col min="13845" max="13845" width="21.85546875" style="4" customWidth="1"/>
    <col min="13846" max="13846" width="19.85546875" style="4" customWidth="1"/>
    <col min="13847" max="13847" width="39.7109375" style="4" customWidth="1"/>
    <col min="13848" max="13848" width="23.140625" style="4" customWidth="1"/>
    <col min="13849" max="13849" width="10.7109375" style="4" customWidth="1"/>
    <col min="13850" max="13850" width="14.7109375" style="4" customWidth="1"/>
    <col min="13851" max="13851" width="10.140625" style="4" customWidth="1"/>
    <col min="13852" max="14080" width="9.140625" style="4"/>
    <col min="14081" max="14081" width="18.42578125" style="4" customWidth="1"/>
    <col min="14082" max="14082" width="19.140625" style="4" customWidth="1"/>
    <col min="14083" max="14083" width="30.5703125" style="4" customWidth="1"/>
    <col min="14084" max="14084" width="25.5703125" style="4" customWidth="1"/>
    <col min="14085" max="14085" width="21.85546875" style="4" customWidth="1"/>
    <col min="14086" max="14086" width="22.28515625" style="4" customWidth="1"/>
    <col min="14087" max="14087" width="20.7109375" style="4" customWidth="1"/>
    <col min="14088" max="14088" width="18" style="4" customWidth="1"/>
    <col min="14089" max="14089" width="14.28515625" style="4" customWidth="1"/>
    <col min="14090" max="14090" width="19.140625" style="4" customWidth="1"/>
    <col min="14091" max="14094" width="0" style="4" hidden="1" customWidth="1"/>
    <col min="14095" max="14095" width="11.5703125" style="4" customWidth="1"/>
    <col min="14096" max="14096" width="8.140625" style="4" customWidth="1"/>
    <col min="14097" max="14097" width="21.7109375" style="4" customWidth="1"/>
    <col min="14098" max="14098" width="9.42578125" style="4" customWidth="1"/>
    <col min="14099" max="14099" width="17.140625" style="4" customWidth="1"/>
    <col min="14100" max="14100" width="17.7109375" style="4" customWidth="1"/>
    <col min="14101" max="14101" width="21.85546875" style="4" customWidth="1"/>
    <col min="14102" max="14102" width="19.85546875" style="4" customWidth="1"/>
    <col min="14103" max="14103" width="39.7109375" style="4" customWidth="1"/>
    <col min="14104" max="14104" width="23.140625" style="4" customWidth="1"/>
    <col min="14105" max="14105" width="10.7109375" style="4" customWidth="1"/>
    <col min="14106" max="14106" width="14.7109375" style="4" customWidth="1"/>
    <col min="14107" max="14107" width="10.140625" style="4" customWidth="1"/>
    <col min="14108" max="14336" width="9.140625" style="4"/>
    <col min="14337" max="14337" width="18.42578125" style="4" customWidth="1"/>
    <col min="14338" max="14338" width="19.140625" style="4" customWidth="1"/>
    <col min="14339" max="14339" width="30.5703125" style="4" customWidth="1"/>
    <col min="14340" max="14340" width="25.5703125" style="4" customWidth="1"/>
    <col min="14341" max="14341" width="21.85546875" style="4" customWidth="1"/>
    <col min="14342" max="14342" width="22.28515625" style="4" customWidth="1"/>
    <col min="14343" max="14343" width="20.7109375" style="4" customWidth="1"/>
    <col min="14344" max="14344" width="18" style="4" customWidth="1"/>
    <col min="14345" max="14345" width="14.28515625" style="4" customWidth="1"/>
    <col min="14346" max="14346" width="19.140625" style="4" customWidth="1"/>
    <col min="14347" max="14350" width="0" style="4" hidden="1" customWidth="1"/>
    <col min="14351" max="14351" width="11.5703125" style="4" customWidth="1"/>
    <col min="14352" max="14352" width="8.140625" style="4" customWidth="1"/>
    <col min="14353" max="14353" width="21.7109375" style="4" customWidth="1"/>
    <col min="14354" max="14354" width="9.42578125" style="4" customWidth="1"/>
    <col min="14355" max="14355" width="17.140625" style="4" customWidth="1"/>
    <col min="14356" max="14356" width="17.7109375" style="4" customWidth="1"/>
    <col min="14357" max="14357" width="21.85546875" style="4" customWidth="1"/>
    <col min="14358" max="14358" width="19.85546875" style="4" customWidth="1"/>
    <col min="14359" max="14359" width="39.7109375" style="4" customWidth="1"/>
    <col min="14360" max="14360" width="23.140625" style="4" customWidth="1"/>
    <col min="14361" max="14361" width="10.7109375" style="4" customWidth="1"/>
    <col min="14362" max="14362" width="14.7109375" style="4" customWidth="1"/>
    <col min="14363" max="14363" width="10.140625" style="4" customWidth="1"/>
    <col min="14364" max="14592" width="9.140625" style="4"/>
    <col min="14593" max="14593" width="18.42578125" style="4" customWidth="1"/>
    <col min="14594" max="14594" width="19.140625" style="4" customWidth="1"/>
    <col min="14595" max="14595" width="30.5703125" style="4" customWidth="1"/>
    <col min="14596" max="14596" width="25.5703125" style="4" customWidth="1"/>
    <col min="14597" max="14597" width="21.85546875" style="4" customWidth="1"/>
    <col min="14598" max="14598" width="22.28515625" style="4" customWidth="1"/>
    <col min="14599" max="14599" width="20.7109375" style="4" customWidth="1"/>
    <col min="14600" max="14600" width="18" style="4" customWidth="1"/>
    <col min="14601" max="14601" width="14.28515625" style="4" customWidth="1"/>
    <col min="14602" max="14602" width="19.140625" style="4" customWidth="1"/>
    <col min="14603" max="14606" width="0" style="4" hidden="1" customWidth="1"/>
    <col min="14607" max="14607" width="11.5703125" style="4" customWidth="1"/>
    <col min="14608" max="14608" width="8.140625" style="4" customWidth="1"/>
    <col min="14609" max="14609" width="21.7109375" style="4" customWidth="1"/>
    <col min="14610" max="14610" width="9.42578125" style="4" customWidth="1"/>
    <col min="14611" max="14611" width="17.140625" style="4" customWidth="1"/>
    <col min="14612" max="14612" width="17.7109375" style="4" customWidth="1"/>
    <col min="14613" max="14613" width="21.85546875" style="4" customWidth="1"/>
    <col min="14614" max="14614" width="19.85546875" style="4" customWidth="1"/>
    <col min="14615" max="14615" width="39.7109375" style="4" customWidth="1"/>
    <col min="14616" max="14616" width="23.140625" style="4" customWidth="1"/>
    <col min="14617" max="14617" width="10.7109375" style="4" customWidth="1"/>
    <col min="14618" max="14618" width="14.7109375" style="4" customWidth="1"/>
    <col min="14619" max="14619" width="10.140625" style="4" customWidth="1"/>
    <col min="14620" max="14848" width="9.140625" style="4"/>
    <col min="14849" max="14849" width="18.42578125" style="4" customWidth="1"/>
    <col min="14850" max="14850" width="19.140625" style="4" customWidth="1"/>
    <col min="14851" max="14851" width="30.5703125" style="4" customWidth="1"/>
    <col min="14852" max="14852" width="25.5703125" style="4" customWidth="1"/>
    <col min="14853" max="14853" width="21.85546875" style="4" customWidth="1"/>
    <col min="14854" max="14854" width="22.28515625" style="4" customWidth="1"/>
    <col min="14855" max="14855" width="20.7109375" style="4" customWidth="1"/>
    <col min="14856" max="14856" width="18" style="4" customWidth="1"/>
    <col min="14857" max="14857" width="14.28515625" style="4" customWidth="1"/>
    <col min="14858" max="14858" width="19.140625" style="4" customWidth="1"/>
    <col min="14859" max="14862" width="0" style="4" hidden="1" customWidth="1"/>
    <col min="14863" max="14863" width="11.5703125" style="4" customWidth="1"/>
    <col min="14864" max="14864" width="8.140625" style="4" customWidth="1"/>
    <col min="14865" max="14865" width="21.7109375" style="4" customWidth="1"/>
    <col min="14866" max="14866" width="9.42578125" style="4" customWidth="1"/>
    <col min="14867" max="14867" width="17.140625" style="4" customWidth="1"/>
    <col min="14868" max="14868" width="17.7109375" style="4" customWidth="1"/>
    <col min="14869" max="14869" width="21.85546875" style="4" customWidth="1"/>
    <col min="14870" max="14870" width="19.85546875" style="4" customWidth="1"/>
    <col min="14871" max="14871" width="39.7109375" style="4" customWidth="1"/>
    <col min="14872" max="14872" width="23.140625" style="4" customWidth="1"/>
    <col min="14873" max="14873" width="10.7109375" style="4" customWidth="1"/>
    <col min="14874" max="14874" width="14.7109375" style="4" customWidth="1"/>
    <col min="14875" max="14875" width="10.140625" style="4" customWidth="1"/>
    <col min="14876" max="15104" width="9.140625" style="4"/>
    <col min="15105" max="15105" width="18.42578125" style="4" customWidth="1"/>
    <col min="15106" max="15106" width="19.140625" style="4" customWidth="1"/>
    <col min="15107" max="15107" width="30.5703125" style="4" customWidth="1"/>
    <col min="15108" max="15108" width="25.5703125" style="4" customWidth="1"/>
    <col min="15109" max="15109" width="21.85546875" style="4" customWidth="1"/>
    <col min="15110" max="15110" width="22.28515625" style="4" customWidth="1"/>
    <col min="15111" max="15111" width="20.7109375" style="4" customWidth="1"/>
    <col min="15112" max="15112" width="18" style="4" customWidth="1"/>
    <col min="15113" max="15113" width="14.28515625" style="4" customWidth="1"/>
    <col min="15114" max="15114" width="19.140625" style="4" customWidth="1"/>
    <col min="15115" max="15118" width="0" style="4" hidden="1" customWidth="1"/>
    <col min="15119" max="15119" width="11.5703125" style="4" customWidth="1"/>
    <col min="15120" max="15120" width="8.140625" style="4" customWidth="1"/>
    <col min="15121" max="15121" width="21.7109375" style="4" customWidth="1"/>
    <col min="15122" max="15122" width="9.42578125" style="4" customWidth="1"/>
    <col min="15123" max="15123" width="17.140625" style="4" customWidth="1"/>
    <col min="15124" max="15124" width="17.7109375" style="4" customWidth="1"/>
    <col min="15125" max="15125" width="21.85546875" style="4" customWidth="1"/>
    <col min="15126" max="15126" width="19.85546875" style="4" customWidth="1"/>
    <col min="15127" max="15127" width="39.7109375" style="4" customWidth="1"/>
    <col min="15128" max="15128" width="23.140625" style="4" customWidth="1"/>
    <col min="15129" max="15129" width="10.7109375" style="4" customWidth="1"/>
    <col min="15130" max="15130" width="14.7109375" style="4" customWidth="1"/>
    <col min="15131" max="15131" width="10.140625" style="4" customWidth="1"/>
    <col min="15132" max="15360" width="9.140625" style="4"/>
    <col min="15361" max="15361" width="18.42578125" style="4" customWidth="1"/>
    <col min="15362" max="15362" width="19.140625" style="4" customWidth="1"/>
    <col min="15363" max="15363" width="30.5703125" style="4" customWidth="1"/>
    <col min="15364" max="15364" width="25.5703125" style="4" customWidth="1"/>
    <col min="15365" max="15365" width="21.85546875" style="4" customWidth="1"/>
    <col min="15366" max="15366" width="22.28515625" style="4" customWidth="1"/>
    <col min="15367" max="15367" width="20.7109375" style="4" customWidth="1"/>
    <col min="15368" max="15368" width="18" style="4" customWidth="1"/>
    <col min="15369" max="15369" width="14.28515625" style="4" customWidth="1"/>
    <col min="15370" max="15370" width="19.140625" style="4" customWidth="1"/>
    <col min="15371" max="15374" width="0" style="4" hidden="1" customWidth="1"/>
    <col min="15375" max="15375" width="11.5703125" style="4" customWidth="1"/>
    <col min="15376" max="15376" width="8.140625" style="4" customWidth="1"/>
    <col min="15377" max="15377" width="21.7109375" style="4" customWidth="1"/>
    <col min="15378" max="15378" width="9.42578125" style="4" customWidth="1"/>
    <col min="15379" max="15379" width="17.140625" style="4" customWidth="1"/>
    <col min="15380" max="15380" width="17.7109375" style="4" customWidth="1"/>
    <col min="15381" max="15381" width="21.85546875" style="4" customWidth="1"/>
    <col min="15382" max="15382" width="19.85546875" style="4" customWidth="1"/>
    <col min="15383" max="15383" width="39.7109375" style="4" customWidth="1"/>
    <col min="15384" max="15384" width="23.140625" style="4" customWidth="1"/>
    <col min="15385" max="15385" width="10.7109375" style="4" customWidth="1"/>
    <col min="15386" max="15386" width="14.7109375" style="4" customWidth="1"/>
    <col min="15387" max="15387" width="10.140625" style="4" customWidth="1"/>
    <col min="15388" max="15616" width="9.140625" style="4"/>
    <col min="15617" max="15617" width="18.42578125" style="4" customWidth="1"/>
    <col min="15618" max="15618" width="19.140625" style="4" customWidth="1"/>
    <col min="15619" max="15619" width="30.5703125" style="4" customWidth="1"/>
    <col min="15620" max="15620" width="25.5703125" style="4" customWidth="1"/>
    <col min="15621" max="15621" width="21.85546875" style="4" customWidth="1"/>
    <col min="15622" max="15622" width="22.28515625" style="4" customWidth="1"/>
    <col min="15623" max="15623" width="20.7109375" style="4" customWidth="1"/>
    <col min="15624" max="15624" width="18" style="4" customWidth="1"/>
    <col min="15625" max="15625" width="14.28515625" style="4" customWidth="1"/>
    <col min="15626" max="15626" width="19.140625" style="4" customWidth="1"/>
    <col min="15627" max="15630" width="0" style="4" hidden="1" customWidth="1"/>
    <col min="15631" max="15631" width="11.5703125" style="4" customWidth="1"/>
    <col min="15632" max="15632" width="8.140625" style="4" customWidth="1"/>
    <col min="15633" max="15633" width="21.7109375" style="4" customWidth="1"/>
    <col min="15634" max="15634" width="9.42578125" style="4" customWidth="1"/>
    <col min="15635" max="15635" width="17.140625" style="4" customWidth="1"/>
    <col min="15636" max="15636" width="17.7109375" style="4" customWidth="1"/>
    <col min="15637" max="15637" width="21.85546875" style="4" customWidth="1"/>
    <col min="15638" max="15638" width="19.85546875" style="4" customWidth="1"/>
    <col min="15639" max="15639" width="39.7109375" style="4" customWidth="1"/>
    <col min="15640" max="15640" width="23.140625" style="4" customWidth="1"/>
    <col min="15641" max="15641" width="10.7109375" style="4" customWidth="1"/>
    <col min="15642" max="15642" width="14.7109375" style="4" customWidth="1"/>
    <col min="15643" max="15643" width="10.140625" style="4" customWidth="1"/>
    <col min="15644" max="15872" width="9.140625" style="4"/>
    <col min="15873" max="15873" width="18.42578125" style="4" customWidth="1"/>
    <col min="15874" max="15874" width="19.140625" style="4" customWidth="1"/>
    <col min="15875" max="15875" width="30.5703125" style="4" customWidth="1"/>
    <col min="15876" max="15876" width="25.5703125" style="4" customWidth="1"/>
    <col min="15877" max="15877" width="21.85546875" style="4" customWidth="1"/>
    <col min="15878" max="15878" width="22.28515625" style="4" customWidth="1"/>
    <col min="15879" max="15879" width="20.7109375" style="4" customWidth="1"/>
    <col min="15880" max="15880" width="18" style="4" customWidth="1"/>
    <col min="15881" max="15881" width="14.28515625" style="4" customWidth="1"/>
    <col min="15882" max="15882" width="19.140625" style="4" customWidth="1"/>
    <col min="15883" max="15886" width="0" style="4" hidden="1" customWidth="1"/>
    <col min="15887" max="15887" width="11.5703125" style="4" customWidth="1"/>
    <col min="15888" max="15888" width="8.140625" style="4" customWidth="1"/>
    <col min="15889" max="15889" width="21.7109375" style="4" customWidth="1"/>
    <col min="15890" max="15890" width="9.42578125" style="4" customWidth="1"/>
    <col min="15891" max="15891" width="17.140625" style="4" customWidth="1"/>
    <col min="15892" max="15892" width="17.7109375" style="4" customWidth="1"/>
    <col min="15893" max="15893" width="21.85546875" style="4" customWidth="1"/>
    <col min="15894" max="15894" width="19.85546875" style="4" customWidth="1"/>
    <col min="15895" max="15895" width="39.7109375" style="4" customWidth="1"/>
    <col min="15896" max="15896" width="23.140625" style="4" customWidth="1"/>
    <col min="15897" max="15897" width="10.7109375" style="4" customWidth="1"/>
    <col min="15898" max="15898" width="14.7109375" style="4" customWidth="1"/>
    <col min="15899" max="15899" width="10.140625" style="4" customWidth="1"/>
    <col min="15900" max="16128" width="9.140625" style="4"/>
    <col min="16129" max="16129" width="18.42578125" style="4" customWidth="1"/>
    <col min="16130" max="16130" width="19.140625" style="4" customWidth="1"/>
    <col min="16131" max="16131" width="30.5703125" style="4" customWidth="1"/>
    <col min="16132" max="16132" width="25.5703125" style="4" customWidth="1"/>
    <col min="16133" max="16133" width="21.85546875" style="4" customWidth="1"/>
    <col min="16134" max="16134" width="22.28515625" style="4" customWidth="1"/>
    <col min="16135" max="16135" width="20.7109375" style="4" customWidth="1"/>
    <col min="16136" max="16136" width="18" style="4" customWidth="1"/>
    <col min="16137" max="16137" width="14.28515625" style="4" customWidth="1"/>
    <col min="16138" max="16138" width="19.140625" style="4" customWidth="1"/>
    <col min="16139" max="16142" width="0" style="4" hidden="1" customWidth="1"/>
    <col min="16143" max="16143" width="11.5703125" style="4" customWidth="1"/>
    <col min="16144" max="16144" width="8.140625" style="4" customWidth="1"/>
    <col min="16145" max="16145" width="21.7109375" style="4" customWidth="1"/>
    <col min="16146" max="16146" width="9.42578125" style="4" customWidth="1"/>
    <col min="16147" max="16147" width="17.140625" style="4" customWidth="1"/>
    <col min="16148" max="16148" width="17.7109375" style="4" customWidth="1"/>
    <col min="16149" max="16149" width="21.85546875" style="4" customWidth="1"/>
    <col min="16150" max="16150" width="19.85546875" style="4" customWidth="1"/>
    <col min="16151" max="16151" width="39.7109375" style="4" customWidth="1"/>
    <col min="16152" max="16152" width="23.140625" style="4" customWidth="1"/>
    <col min="16153" max="16153" width="10.7109375" style="4" customWidth="1"/>
    <col min="16154" max="16154" width="14.7109375" style="4" customWidth="1"/>
    <col min="16155" max="16155" width="10.140625" style="4" customWidth="1"/>
    <col min="16156" max="16384" width="9.140625" style="4"/>
  </cols>
  <sheetData>
    <row r="1" spans="1:28" ht="20.25" x14ac:dyDescent="0.3">
      <c r="A1" s="1"/>
      <c r="B1" s="1"/>
      <c r="C1" s="1"/>
      <c r="D1" s="2"/>
      <c r="E1" s="3" t="s">
        <v>0</v>
      </c>
      <c r="G1" s="1"/>
      <c r="H1" s="2"/>
      <c r="I1" s="2"/>
      <c r="J1" s="1"/>
      <c r="K1" s="1"/>
      <c r="L1" s="1"/>
      <c r="M1" s="1"/>
      <c r="N1" s="1"/>
    </row>
    <row r="2" spans="1:28" ht="39" customHeight="1" x14ac:dyDescent="0.3">
      <c r="A2" s="1"/>
      <c r="B2" s="1"/>
      <c r="C2" s="1" t="s">
        <v>1</v>
      </c>
      <c r="D2" s="2"/>
      <c r="E2" s="5" t="s">
        <v>2</v>
      </c>
      <c r="F2" s="5"/>
      <c r="G2" s="1"/>
      <c r="H2" s="2"/>
      <c r="I2" s="2"/>
      <c r="J2" s="1"/>
      <c r="K2" s="1"/>
      <c r="L2" s="1"/>
      <c r="M2" s="1"/>
      <c r="N2" s="1"/>
    </row>
    <row r="3" spans="1:28" ht="20.25" x14ac:dyDescent="0.3">
      <c r="A3" s="1"/>
      <c r="B3" s="1"/>
      <c r="C3" s="1" t="s">
        <v>3</v>
      </c>
      <c r="D3" s="2"/>
      <c r="E3" s="2"/>
      <c r="F3" s="2"/>
      <c r="G3" s="6"/>
      <c r="I3" s="6"/>
      <c r="K3" s="2"/>
      <c r="L3" s="2"/>
      <c r="M3" s="2"/>
      <c r="N3" s="2"/>
    </row>
    <row r="4" spans="1:28" ht="33" x14ac:dyDescent="0.45">
      <c r="A4" s="1"/>
      <c r="B4" s="1"/>
      <c r="C4" s="1"/>
      <c r="D4" s="2"/>
      <c r="E4" s="1" t="s">
        <v>4</v>
      </c>
      <c r="F4" s="7" t="s">
        <v>5</v>
      </c>
      <c r="I4" s="7"/>
      <c r="J4" s="1"/>
      <c r="K4" s="1"/>
      <c r="L4" s="1"/>
      <c r="M4" s="1"/>
      <c r="N4" s="1"/>
      <c r="V4" s="8"/>
    </row>
    <row r="5" spans="1:28" ht="24" customHeight="1" x14ac:dyDescent="0.3">
      <c r="A5" s="1"/>
      <c r="B5" s="1"/>
      <c r="C5" s="1"/>
      <c r="D5" s="1"/>
      <c r="E5" s="1"/>
      <c r="F5" s="9" t="s">
        <v>6</v>
      </c>
      <c r="G5" s="10" t="s">
        <v>7</v>
      </c>
      <c r="K5" s="1"/>
      <c r="L5" s="1"/>
      <c r="M5" s="1"/>
      <c r="N5" s="1"/>
      <c r="O5" s="11"/>
      <c r="P5" s="11"/>
      <c r="X5" s="12"/>
    </row>
    <row r="6" spans="1:28" ht="26.25" customHeight="1" x14ac:dyDescent="0.3">
      <c r="A6" s="13"/>
      <c r="B6" s="13"/>
      <c r="C6" s="13"/>
      <c r="D6" s="13"/>
      <c r="E6" s="13"/>
      <c r="F6" s="13"/>
      <c r="G6" s="13"/>
      <c r="H6" s="14"/>
      <c r="I6" s="14"/>
      <c r="J6" s="14"/>
      <c r="K6" s="14"/>
      <c r="L6" s="14"/>
      <c r="M6" s="14"/>
      <c r="N6" s="14"/>
      <c r="O6" s="14"/>
      <c r="P6" s="11"/>
    </row>
    <row r="7" spans="1:28" ht="26.25" customHeight="1" x14ac:dyDescent="0.3">
      <c r="A7" s="15" t="s">
        <v>8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  <c r="M7" s="16"/>
      <c r="N7" s="16"/>
      <c r="O7" s="16"/>
      <c r="P7" s="11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ht="23.25" customHeight="1" x14ac:dyDescent="0.3">
      <c r="A8" s="19" t="s">
        <v>9</v>
      </c>
      <c r="B8" s="19"/>
      <c r="C8" s="19"/>
      <c r="D8" s="19"/>
      <c r="E8" s="19"/>
      <c r="F8" s="19"/>
      <c r="G8" s="19"/>
      <c r="H8" s="16"/>
      <c r="I8" s="16"/>
      <c r="J8" s="16"/>
      <c r="K8" s="16"/>
      <c r="L8" s="16"/>
      <c r="M8" s="16"/>
      <c r="N8" s="16"/>
      <c r="O8" s="16"/>
      <c r="P8" s="11"/>
      <c r="R8" s="17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50.25" customHeight="1" x14ac:dyDescent="0.3">
      <c r="A9" s="20" t="s">
        <v>10</v>
      </c>
      <c r="B9" s="20"/>
      <c r="C9" s="20"/>
      <c r="D9" s="20"/>
      <c r="E9" s="20"/>
      <c r="F9" s="20"/>
      <c r="G9" s="20"/>
      <c r="H9" s="21"/>
      <c r="I9" s="21"/>
      <c r="J9" s="21"/>
      <c r="K9" s="21"/>
      <c r="L9" s="21"/>
      <c r="M9" s="21"/>
      <c r="N9" s="21"/>
      <c r="O9" s="21"/>
      <c r="P9" s="22"/>
      <c r="Q9" s="23"/>
      <c r="R9" s="24"/>
      <c r="S9" s="25"/>
      <c r="T9" s="25"/>
      <c r="U9" s="25"/>
      <c r="V9" s="25"/>
      <c r="W9" s="25"/>
      <c r="X9" s="25"/>
      <c r="Y9" s="25"/>
      <c r="Z9" s="25"/>
      <c r="AA9" s="25"/>
      <c r="AB9" s="18"/>
    </row>
    <row r="10" spans="1:28" ht="36" customHeight="1" x14ac:dyDescent="0.4">
      <c r="A10" s="26" t="s">
        <v>11</v>
      </c>
      <c r="B10" s="26"/>
      <c r="C10" s="26"/>
      <c r="D10" s="26"/>
      <c r="E10" s="26"/>
      <c r="F10" s="26"/>
      <c r="G10" s="26"/>
      <c r="H10" s="27"/>
      <c r="I10" s="27"/>
      <c r="J10" s="27"/>
      <c r="K10" s="27"/>
      <c r="L10" s="27"/>
      <c r="M10" s="27"/>
      <c r="N10" s="27"/>
      <c r="O10" s="27"/>
      <c r="P10" s="22"/>
      <c r="Q10" s="23"/>
      <c r="R10" s="28"/>
      <c r="S10" s="29"/>
      <c r="T10" s="29"/>
      <c r="U10" s="29"/>
      <c r="V10" s="29"/>
      <c r="W10" s="29"/>
      <c r="X10" s="29"/>
      <c r="Y10" s="29"/>
      <c r="Z10" s="29"/>
      <c r="AA10" s="29"/>
      <c r="AB10" s="30"/>
    </row>
    <row r="11" spans="1:28" ht="126.75" customHeight="1" x14ac:dyDescent="0.3">
      <c r="A11" s="31" t="s">
        <v>12</v>
      </c>
      <c r="B11" s="31"/>
      <c r="C11" s="31"/>
      <c r="D11" s="31"/>
      <c r="E11" s="31"/>
      <c r="F11" s="31"/>
      <c r="G11" s="31"/>
      <c r="H11" s="16"/>
      <c r="I11" s="16"/>
      <c r="J11" s="16"/>
      <c r="K11" s="16"/>
      <c r="L11" s="16"/>
      <c r="M11" s="32"/>
      <c r="N11" s="32"/>
      <c r="O11" s="11"/>
      <c r="P11" s="11"/>
    </row>
    <row r="12" spans="1:28" ht="65.25" customHeight="1" x14ac:dyDescent="0.35">
      <c r="A12" s="33" t="s">
        <v>13</v>
      </c>
      <c r="B12" s="33"/>
      <c r="C12" s="33"/>
      <c r="D12" s="33"/>
      <c r="E12" s="33"/>
      <c r="F12" s="33"/>
      <c r="G12" s="33"/>
      <c r="H12" s="34"/>
      <c r="I12" s="34"/>
      <c r="J12" s="34"/>
      <c r="K12" s="34"/>
      <c r="L12" s="34"/>
      <c r="M12" s="34"/>
      <c r="N12" s="34"/>
      <c r="O12" s="34"/>
      <c r="P12" s="22"/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21" customHeight="1" x14ac:dyDescent="0.3">
      <c r="A13" s="37" t="s">
        <v>14</v>
      </c>
      <c r="B13" s="37"/>
      <c r="C13" s="37"/>
      <c r="D13" s="37"/>
      <c r="E13" s="37"/>
      <c r="F13" s="37"/>
      <c r="G13" s="37"/>
      <c r="H13" s="38"/>
      <c r="I13" s="38"/>
      <c r="J13" s="38"/>
      <c r="K13" s="38"/>
      <c r="L13" s="38"/>
      <c r="M13" s="38"/>
      <c r="N13" s="38"/>
      <c r="O13" s="38"/>
      <c r="P13" s="22"/>
      <c r="S13" s="39"/>
      <c r="T13" s="39"/>
      <c r="U13" s="39"/>
      <c r="V13" s="40"/>
      <c r="W13" s="41"/>
      <c r="X13" s="41"/>
      <c r="Y13" s="41"/>
      <c r="Z13" s="39"/>
      <c r="AA13" s="39"/>
    </row>
    <row r="14" spans="1:28" ht="51" customHeight="1" x14ac:dyDescent="0.2">
      <c r="A14" s="42" t="s">
        <v>15</v>
      </c>
      <c r="B14" s="42" t="s">
        <v>16</v>
      </c>
      <c r="C14" s="42" t="s">
        <v>17</v>
      </c>
      <c r="D14" s="43" t="s">
        <v>18</v>
      </c>
      <c r="E14" s="44"/>
      <c r="F14" s="45" t="s">
        <v>19</v>
      </c>
      <c r="G14" s="45"/>
      <c r="H14" s="46"/>
      <c r="I14" s="46"/>
      <c r="J14" s="39"/>
      <c r="K14" s="39"/>
      <c r="L14" s="47"/>
      <c r="M14" s="47"/>
      <c r="N14" s="47"/>
      <c r="O14" s="47"/>
      <c r="Q14" s="48"/>
      <c r="S14" s="39"/>
      <c r="T14" s="39"/>
      <c r="U14" s="39"/>
      <c r="V14" s="39"/>
      <c r="W14" s="39"/>
      <c r="X14" s="39"/>
      <c r="Y14" s="39"/>
      <c r="Z14" s="39"/>
      <c r="AA14" s="39"/>
    </row>
    <row r="15" spans="1:28" ht="29.25" customHeight="1" x14ac:dyDescent="0.3">
      <c r="A15" s="49"/>
      <c r="B15" s="49"/>
      <c r="C15" s="49"/>
      <c r="D15" s="50" t="s">
        <v>20</v>
      </c>
      <c r="E15" s="50" t="s">
        <v>21</v>
      </c>
      <c r="F15" s="50" t="s">
        <v>20</v>
      </c>
      <c r="G15" s="50" t="s">
        <v>21</v>
      </c>
      <c r="H15" s="51"/>
      <c r="I15" s="52"/>
      <c r="J15" s="52"/>
      <c r="K15" s="52"/>
      <c r="L15" s="52"/>
      <c r="M15" s="52"/>
      <c r="N15" s="52"/>
      <c r="O15" s="52"/>
      <c r="S15" s="39"/>
      <c r="T15" s="39"/>
      <c r="U15" s="39"/>
      <c r="V15" s="39"/>
      <c r="W15" s="39"/>
      <c r="X15" s="39"/>
      <c r="Y15" s="39"/>
      <c r="Z15" s="39"/>
      <c r="AA15" s="39"/>
    </row>
    <row r="16" spans="1:28" ht="37.5" customHeight="1" x14ac:dyDescent="0.55000000000000004">
      <c r="A16" s="53" t="s">
        <v>22</v>
      </c>
      <c r="B16" s="54" t="s">
        <v>23</v>
      </c>
      <c r="C16" s="55" t="s">
        <v>24</v>
      </c>
      <c r="D16" s="56">
        <f>ROUND(D24*1.56,1)</f>
        <v>543.5</v>
      </c>
      <c r="E16" s="56">
        <f>ROUND(E24*1.56,1)</f>
        <v>376.4</v>
      </c>
      <c r="F16" s="57">
        <f>D16*1.2</f>
        <v>652.19999999999993</v>
      </c>
      <c r="G16" s="57">
        <f>E16*1.2</f>
        <v>451.67999999999995</v>
      </c>
      <c r="H16" s="58"/>
      <c r="I16" s="58"/>
      <c r="J16" s="58"/>
      <c r="K16" s="58"/>
      <c r="L16" s="59"/>
      <c r="M16" s="39"/>
      <c r="N16" s="39"/>
      <c r="O16" s="60"/>
      <c r="P16" s="61"/>
      <c r="Q16" s="62"/>
      <c r="R16" s="63"/>
      <c r="S16" s="64"/>
      <c r="T16" s="63"/>
      <c r="U16" s="61"/>
      <c r="V16" s="65"/>
      <c r="W16" s="66"/>
      <c r="X16" s="61"/>
    </row>
    <row r="17" spans="1:24" ht="27.6" customHeight="1" x14ac:dyDescent="0.55000000000000004">
      <c r="A17" s="67"/>
      <c r="B17" s="67"/>
      <c r="C17" s="68" t="s">
        <v>25</v>
      </c>
      <c r="D17" s="56">
        <f>ROUND(D25*1.56,1)</f>
        <v>494.1</v>
      </c>
      <c r="E17" s="56">
        <f>ROUND(E25*1.56,1)</f>
        <v>342.2</v>
      </c>
      <c r="F17" s="57">
        <f t="shared" ref="F17:G39" si="0">D17*1.2</f>
        <v>592.91999999999996</v>
      </c>
      <c r="G17" s="57">
        <f t="shared" si="0"/>
        <v>410.64</v>
      </c>
      <c r="H17" s="58"/>
      <c r="I17" s="58"/>
      <c r="J17" s="58"/>
      <c r="K17" s="58"/>
      <c r="L17" s="59"/>
      <c r="M17" s="69"/>
      <c r="N17" s="70"/>
      <c r="O17" s="71"/>
      <c r="P17" s="72"/>
      <c r="Q17" s="63"/>
      <c r="R17" s="62"/>
      <c r="S17" s="64"/>
      <c r="T17" s="62"/>
      <c r="U17" s="61"/>
      <c r="V17" s="65"/>
      <c r="W17" s="66"/>
      <c r="X17" s="61"/>
    </row>
    <row r="18" spans="1:24" ht="23.45" customHeight="1" x14ac:dyDescent="0.55000000000000004">
      <c r="A18" s="67"/>
      <c r="B18" s="67"/>
      <c r="C18" s="73" t="s">
        <v>26</v>
      </c>
      <c r="D18" s="56">
        <f>ROUND(D26*1.56,1)</f>
        <v>593</v>
      </c>
      <c r="E18" s="56">
        <f>ROUND(E26*1.56,1)</f>
        <v>410.6</v>
      </c>
      <c r="F18" s="57">
        <f t="shared" si="0"/>
        <v>711.6</v>
      </c>
      <c r="G18" s="57">
        <f t="shared" si="0"/>
        <v>492.72</v>
      </c>
      <c r="H18" s="58"/>
      <c r="I18" s="58"/>
      <c r="J18" s="74"/>
      <c r="K18" s="58"/>
      <c r="L18" s="59"/>
      <c r="M18" s="69"/>
      <c r="N18" s="39"/>
      <c r="O18" s="71"/>
      <c r="P18" s="72"/>
      <c r="Q18" s="62"/>
      <c r="R18" s="62"/>
      <c r="S18" s="64"/>
      <c r="T18" s="62"/>
      <c r="U18" s="61"/>
      <c r="V18" s="65"/>
      <c r="W18" s="66"/>
      <c r="X18" s="61"/>
    </row>
    <row r="19" spans="1:24" ht="27.6" customHeight="1" x14ac:dyDescent="0.6">
      <c r="A19" s="67"/>
      <c r="B19" s="75"/>
      <c r="C19" s="76" t="s">
        <v>27</v>
      </c>
      <c r="D19" s="56">
        <f>ROUND(D27*1.56,1)</f>
        <v>642.29999999999995</v>
      </c>
      <c r="E19" s="56">
        <f>ROUND(E27*1.56,1)</f>
        <v>444.8</v>
      </c>
      <c r="F19" s="57">
        <f t="shared" si="0"/>
        <v>770.75999999999988</v>
      </c>
      <c r="G19" s="57">
        <f t="shared" si="0"/>
        <v>533.76</v>
      </c>
      <c r="H19" s="58"/>
      <c r="I19" s="58"/>
      <c r="J19" s="58"/>
      <c r="K19" s="58"/>
      <c r="L19" s="59"/>
      <c r="M19" s="39"/>
      <c r="N19" s="77"/>
      <c r="O19" s="71"/>
      <c r="P19" s="72"/>
      <c r="Q19" s="62"/>
      <c r="R19" s="62"/>
      <c r="S19" s="78"/>
      <c r="T19" s="78"/>
      <c r="U19" s="72"/>
      <c r="V19" s="79"/>
      <c r="W19" s="79"/>
      <c r="X19" s="72"/>
    </row>
    <row r="20" spans="1:24" ht="28.15" customHeight="1" x14ac:dyDescent="0.55000000000000004">
      <c r="A20" s="67"/>
      <c r="B20" s="80">
        <v>1</v>
      </c>
      <c r="C20" s="55" t="s">
        <v>24</v>
      </c>
      <c r="D20" s="56">
        <f>D24*1.2</f>
        <v>418.08</v>
      </c>
      <c r="E20" s="56">
        <f>E24*1.2</f>
        <v>289.54200000000003</v>
      </c>
      <c r="F20" s="57">
        <f t="shared" si="0"/>
        <v>501.69599999999997</v>
      </c>
      <c r="G20" s="57">
        <f t="shared" si="0"/>
        <v>347.4504</v>
      </c>
      <c r="H20" s="58"/>
      <c r="I20" s="58"/>
      <c r="J20" s="58"/>
      <c r="K20" s="58"/>
      <c r="L20" s="59"/>
      <c r="M20" s="39"/>
      <c r="N20" s="77"/>
      <c r="O20" s="60"/>
      <c r="P20" s="61"/>
      <c r="Q20" s="39"/>
      <c r="R20" s="63"/>
      <c r="S20" s="81"/>
      <c r="T20" s="82"/>
      <c r="U20" s="83"/>
      <c r="V20" s="65"/>
      <c r="W20" s="66"/>
      <c r="X20" s="61"/>
    </row>
    <row r="21" spans="1:24" ht="24" customHeight="1" x14ac:dyDescent="0.55000000000000004">
      <c r="A21" s="84"/>
      <c r="B21" s="67"/>
      <c r="C21" s="68" t="s">
        <v>25</v>
      </c>
      <c r="D21" s="56">
        <f>ROUND((D25*1.2)/1,1)*1</f>
        <v>380.1</v>
      </c>
      <c r="E21" s="56">
        <f>E25*1.2</f>
        <v>263.22000000000003</v>
      </c>
      <c r="F21" s="57">
        <f t="shared" si="0"/>
        <v>456.12</v>
      </c>
      <c r="G21" s="57">
        <f t="shared" si="0"/>
        <v>315.86400000000003</v>
      </c>
      <c r="H21" s="58"/>
      <c r="I21" s="58"/>
      <c r="J21" s="58"/>
      <c r="K21" s="58"/>
      <c r="L21" s="59"/>
      <c r="M21" s="39"/>
      <c r="N21" s="85"/>
      <c r="O21" s="60"/>
      <c r="P21" s="61"/>
      <c r="Q21" s="86"/>
      <c r="R21" s="86"/>
      <c r="S21" s="87"/>
      <c r="T21" s="88"/>
      <c r="U21" s="83"/>
      <c r="V21" s="65"/>
      <c r="W21" s="66"/>
      <c r="X21" s="61"/>
    </row>
    <row r="22" spans="1:24" ht="24" customHeight="1" x14ac:dyDescent="0.55000000000000004">
      <c r="A22" s="67"/>
      <c r="B22" s="67"/>
      <c r="C22" s="73" t="s">
        <v>26</v>
      </c>
      <c r="D22" s="89">
        <f>ROUND((D26*1.2)/1,1)*1</f>
        <v>456.1</v>
      </c>
      <c r="E22" s="89">
        <f>E26*1.2</f>
        <v>315.86400000000003</v>
      </c>
      <c r="F22" s="57">
        <f>D22*1.2</f>
        <v>547.32000000000005</v>
      </c>
      <c r="G22" s="57">
        <f t="shared" si="0"/>
        <v>379.03680000000003</v>
      </c>
      <c r="H22" s="58"/>
      <c r="I22" s="58"/>
      <c r="J22" s="74"/>
      <c r="K22" s="58"/>
      <c r="L22" s="59"/>
      <c r="M22" s="90"/>
      <c r="N22" s="85"/>
      <c r="O22" s="60"/>
      <c r="P22" s="61"/>
      <c r="Q22" s="63"/>
      <c r="R22" s="63"/>
      <c r="S22" s="64"/>
      <c r="T22" s="64"/>
      <c r="U22" s="83"/>
      <c r="V22" s="91"/>
      <c r="W22" s="91"/>
      <c r="X22" s="83"/>
    </row>
    <row r="23" spans="1:24" ht="27" customHeight="1" x14ac:dyDescent="0.55000000000000004">
      <c r="A23" s="67"/>
      <c r="B23" s="75"/>
      <c r="C23" s="76" t="s">
        <v>27</v>
      </c>
      <c r="D23" s="56">
        <f>D27*1.2</f>
        <v>494.03999999999996</v>
      </c>
      <c r="E23" s="56">
        <f>E27*1.2</f>
        <v>342.18600000000004</v>
      </c>
      <c r="F23" s="57">
        <f t="shared" si="0"/>
        <v>592.84799999999996</v>
      </c>
      <c r="G23" s="57">
        <f t="shared" si="0"/>
        <v>410.62320000000005</v>
      </c>
      <c r="H23" s="58"/>
      <c r="I23" s="58"/>
      <c r="J23" s="58"/>
      <c r="K23" s="58"/>
      <c r="L23" s="59"/>
      <c r="M23" s="92"/>
      <c r="N23" s="85"/>
      <c r="O23" s="60"/>
      <c r="P23" s="93"/>
      <c r="Q23" s="63"/>
      <c r="R23" s="63"/>
      <c r="S23" s="64"/>
      <c r="T23" s="64"/>
      <c r="U23" s="83"/>
      <c r="V23" s="65"/>
      <c r="W23" s="66"/>
      <c r="X23" s="61"/>
    </row>
    <row r="24" spans="1:24" ht="25.15" customHeight="1" x14ac:dyDescent="0.55000000000000004">
      <c r="A24" s="94"/>
      <c r="B24" s="80">
        <v>2</v>
      </c>
      <c r="C24" s="55" t="s">
        <v>24</v>
      </c>
      <c r="D24" s="56">
        <f>ROUND(D25*1.1,1)</f>
        <v>348.4</v>
      </c>
      <c r="E24" s="56">
        <f>E25*1.1</f>
        <v>241.28500000000005</v>
      </c>
      <c r="F24" s="57">
        <f t="shared" si="0"/>
        <v>418.08</v>
      </c>
      <c r="G24" s="57">
        <f t="shared" si="0"/>
        <v>289.54200000000003</v>
      </c>
      <c r="H24" s="58"/>
      <c r="I24" s="58"/>
      <c r="J24" s="58"/>
      <c r="K24" s="58"/>
      <c r="L24" s="59"/>
      <c r="M24" s="85"/>
      <c r="N24" s="39"/>
      <c r="O24" s="60"/>
      <c r="P24" s="95"/>
      <c r="Q24" s="96"/>
      <c r="R24" s="97"/>
      <c r="S24" s="63"/>
      <c r="T24" s="64"/>
      <c r="U24" s="83"/>
      <c r="V24" s="65"/>
      <c r="W24" s="66"/>
      <c r="X24" s="61"/>
    </row>
    <row r="25" spans="1:24" ht="24" customHeight="1" x14ac:dyDescent="0.55000000000000004">
      <c r="A25" s="94" t="s">
        <v>28</v>
      </c>
      <c r="B25" s="67"/>
      <c r="C25" s="68" t="s">
        <v>25</v>
      </c>
      <c r="D25" s="98">
        <f>296*1.07</f>
        <v>316.72000000000003</v>
      </c>
      <c r="E25" s="98">
        <f>205*1.07</f>
        <v>219.35000000000002</v>
      </c>
      <c r="F25" s="57">
        <f t="shared" si="0"/>
        <v>380.06400000000002</v>
      </c>
      <c r="G25" s="57">
        <f t="shared" si="0"/>
        <v>263.22000000000003</v>
      </c>
      <c r="H25" s="58"/>
      <c r="I25" s="58"/>
      <c r="J25" s="99"/>
      <c r="K25" s="99"/>
      <c r="L25" s="59"/>
      <c r="M25" s="100"/>
      <c r="N25" s="85"/>
      <c r="O25" s="60"/>
      <c r="P25" s="61"/>
      <c r="Q25" s="96"/>
      <c r="R25" s="101"/>
      <c r="S25" s="64"/>
      <c r="T25" s="64"/>
      <c r="U25" s="83"/>
      <c r="V25" s="65"/>
      <c r="W25" s="66"/>
      <c r="X25" s="61"/>
    </row>
    <row r="26" spans="1:24" ht="36" customHeight="1" x14ac:dyDescent="0.55000000000000004">
      <c r="A26" s="67"/>
      <c r="B26" s="67"/>
      <c r="C26" s="73" t="s">
        <v>26</v>
      </c>
      <c r="D26" s="56">
        <f>ROUND(D25*1.2,1)</f>
        <v>380.1</v>
      </c>
      <c r="E26" s="56">
        <f>E25*1.2</f>
        <v>263.22000000000003</v>
      </c>
      <c r="F26" s="57">
        <f t="shared" si="0"/>
        <v>456.12</v>
      </c>
      <c r="G26" s="57">
        <f t="shared" si="0"/>
        <v>315.86400000000003</v>
      </c>
      <c r="H26" s="58"/>
      <c r="I26" s="58"/>
      <c r="J26" s="74"/>
      <c r="K26" s="58"/>
      <c r="L26" s="59"/>
      <c r="M26" s="90"/>
      <c r="N26" s="85"/>
      <c r="O26" s="60"/>
      <c r="P26" s="102"/>
      <c r="Q26" s="103"/>
      <c r="R26" s="104"/>
      <c r="S26" s="105"/>
      <c r="T26" s="83"/>
      <c r="U26" s="83"/>
      <c r="V26" s="65"/>
      <c r="W26" s="66"/>
      <c r="X26" s="61"/>
    </row>
    <row r="27" spans="1:24" ht="22.9" customHeight="1" x14ac:dyDescent="0.55000000000000004">
      <c r="A27" s="67"/>
      <c r="B27" s="67"/>
      <c r="C27" s="76" t="s">
        <v>27</v>
      </c>
      <c r="D27" s="56">
        <f>ROUND(D25*1.3,1)</f>
        <v>411.7</v>
      </c>
      <c r="E27" s="56">
        <f>E25*1.3</f>
        <v>285.15500000000003</v>
      </c>
      <c r="F27" s="57">
        <f t="shared" si="0"/>
        <v>494.03999999999996</v>
      </c>
      <c r="G27" s="57">
        <f t="shared" si="0"/>
        <v>342.18600000000004</v>
      </c>
      <c r="H27" s="58"/>
      <c r="I27" s="58"/>
      <c r="J27" s="106"/>
      <c r="K27" s="106"/>
      <c r="L27" s="59"/>
      <c r="M27" s="92"/>
      <c r="N27" s="85"/>
      <c r="O27" s="107"/>
      <c r="P27" s="108"/>
      <c r="Q27" s="103"/>
      <c r="R27" s="109"/>
      <c r="S27" s="105"/>
      <c r="T27" s="83"/>
      <c r="U27" s="83"/>
      <c r="V27" s="65"/>
      <c r="W27" s="66"/>
      <c r="X27" s="61"/>
    </row>
    <row r="28" spans="1:24" ht="25.5" x14ac:dyDescent="0.35">
      <c r="A28" s="67"/>
      <c r="B28" s="110">
        <v>3</v>
      </c>
      <c r="C28" s="55" t="s">
        <v>24</v>
      </c>
      <c r="D28" s="56">
        <f>ROUND(D24*0.8,1)</f>
        <v>278.7</v>
      </c>
      <c r="E28" s="56">
        <f>ROUND(E24*0.8,1)</f>
        <v>193</v>
      </c>
      <c r="F28" s="57">
        <f t="shared" si="0"/>
        <v>334.44</v>
      </c>
      <c r="G28" s="57">
        <f t="shared" si="0"/>
        <v>231.6</v>
      </c>
      <c r="H28" s="58"/>
      <c r="I28" s="58"/>
      <c r="J28" s="58"/>
      <c r="K28" s="58"/>
      <c r="L28" s="59"/>
      <c r="M28" s="92"/>
      <c r="N28" s="77"/>
      <c r="O28" s="111"/>
      <c r="P28" s="112"/>
      <c r="Q28" s="103"/>
      <c r="R28" s="113"/>
      <c r="S28" s="114"/>
      <c r="T28" s="115"/>
      <c r="U28" s="115"/>
      <c r="V28" s="116"/>
      <c r="W28" s="116"/>
      <c r="X28" s="115"/>
    </row>
    <row r="29" spans="1:24" ht="20.25" x14ac:dyDescent="0.3">
      <c r="A29" s="67"/>
      <c r="B29" s="67"/>
      <c r="C29" s="68" t="s">
        <v>25</v>
      </c>
      <c r="D29" s="56">
        <f>ROUND(D25*0.8,1)</f>
        <v>253.4</v>
      </c>
      <c r="E29" s="56">
        <f>ROUND(E25*0.8,1)</f>
        <v>175.5</v>
      </c>
      <c r="F29" s="57">
        <f t="shared" si="0"/>
        <v>304.08</v>
      </c>
      <c r="G29" s="57">
        <f t="shared" si="0"/>
        <v>210.6</v>
      </c>
      <c r="H29" s="58"/>
      <c r="I29" s="58"/>
      <c r="J29" s="58"/>
      <c r="K29" s="58"/>
      <c r="L29" s="59"/>
      <c r="M29" s="92"/>
      <c r="N29" s="77"/>
      <c r="O29" s="111"/>
      <c r="P29" s="112"/>
      <c r="Q29" s="103"/>
      <c r="R29" s="117"/>
      <c r="S29" s="114"/>
      <c r="T29" s="39"/>
      <c r="U29" s="39"/>
      <c r="V29" s="63"/>
      <c r="W29" s="63"/>
      <c r="X29" s="39"/>
    </row>
    <row r="30" spans="1:24" ht="20.25" x14ac:dyDescent="0.3">
      <c r="A30" s="67"/>
      <c r="B30" s="67"/>
      <c r="C30" s="73" t="s">
        <v>26</v>
      </c>
      <c r="D30" s="56">
        <f>ROUND(D26*0.8,1)</f>
        <v>304.10000000000002</v>
      </c>
      <c r="E30" s="56">
        <f>ROUND(E26*0.8,1)</f>
        <v>210.6</v>
      </c>
      <c r="F30" s="57">
        <f t="shared" si="0"/>
        <v>364.92</v>
      </c>
      <c r="G30" s="57">
        <f t="shared" si="0"/>
        <v>252.71999999999997</v>
      </c>
      <c r="H30" s="58"/>
      <c r="I30" s="58"/>
      <c r="J30" s="58"/>
      <c r="K30" s="58"/>
      <c r="L30" s="59"/>
      <c r="M30" s="90"/>
      <c r="N30" s="85"/>
      <c r="O30" s="111"/>
      <c r="P30" s="39"/>
      <c r="Q30" s="103"/>
      <c r="R30" s="104"/>
      <c r="S30" s="105"/>
      <c r="T30" s="39"/>
      <c r="U30" s="39"/>
      <c r="V30" s="63"/>
      <c r="W30" s="63"/>
      <c r="X30" s="39"/>
    </row>
    <row r="31" spans="1:24" ht="20.25" x14ac:dyDescent="0.3">
      <c r="A31" s="67"/>
      <c r="B31" s="75"/>
      <c r="C31" s="76" t="s">
        <v>27</v>
      </c>
      <c r="D31" s="57">
        <f>ROUND(D27*0.8,1)</f>
        <v>329.4</v>
      </c>
      <c r="E31" s="57">
        <f>ROUND(E27*0.8,1)</f>
        <v>228.1</v>
      </c>
      <c r="F31" s="57">
        <f t="shared" si="0"/>
        <v>395.28</v>
      </c>
      <c r="G31" s="57">
        <f t="shared" si="0"/>
        <v>273.71999999999997</v>
      </c>
      <c r="H31" s="58"/>
      <c r="I31" s="58"/>
      <c r="J31" s="58"/>
      <c r="K31" s="58"/>
      <c r="L31" s="59"/>
      <c r="M31" s="39"/>
      <c r="N31" s="85"/>
      <c r="O31" s="118"/>
      <c r="P31" s="39"/>
      <c r="Q31" s="103"/>
      <c r="R31" s="109"/>
      <c r="S31" s="105"/>
      <c r="T31" s="39"/>
      <c r="U31" s="39"/>
      <c r="V31" s="63"/>
      <c r="W31" s="63"/>
      <c r="X31" s="39"/>
    </row>
    <row r="32" spans="1:24" ht="20.25" x14ac:dyDescent="0.3">
      <c r="A32" s="119"/>
      <c r="B32" s="54"/>
      <c r="C32" s="55" t="s">
        <v>24</v>
      </c>
      <c r="D32" s="120">
        <f>ROUND(D24*0.56,1)</f>
        <v>195.1</v>
      </c>
      <c r="E32" s="120">
        <f>ROUND(E24*0.56,1)</f>
        <v>135.1</v>
      </c>
      <c r="F32" s="57">
        <f t="shared" si="0"/>
        <v>234.11999999999998</v>
      </c>
      <c r="G32" s="57">
        <f t="shared" si="0"/>
        <v>162.11999999999998</v>
      </c>
      <c r="H32" s="58"/>
      <c r="I32" s="58"/>
      <c r="J32" s="58"/>
      <c r="K32" s="58"/>
      <c r="L32" s="59"/>
      <c r="M32" s="39"/>
      <c r="N32" s="85"/>
      <c r="O32" s="118"/>
      <c r="P32" s="39"/>
      <c r="Q32" s="103"/>
      <c r="R32" s="109"/>
      <c r="S32" s="105"/>
      <c r="T32" s="39"/>
      <c r="U32" s="39"/>
      <c r="V32" s="63"/>
      <c r="W32" s="63"/>
      <c r="X32" s="39"/>
    </row>
    <row r="33" spans="1:24" ht="20.25" x14ac:dyDescent="0.3">
      <c r="A33" s="119"/>
      <c r="B33" s="80">
        <v>4</v>
      </c>
      <c r="C33" s="68" t="s">
        <v>25</v>
      </c>
      <c r="D33" s="121">
        <f>ROUND(D25*0.56,1)</f>
        <v>177.4</v>
      </c>
      <c r="E33" s="121">
        <f>ROUND(E25*0.56,1)</f>
        <v>122.8</v>
      </c>
      <c r="F33" s="57">
        <f t="shared" si="0"/>
        <v>212.88</v>
      </c>
      <c r="G33" s="57">
        <f t="shared" si="0"/>
        <v>147.35999999999999</v>
      </c>
      <c r="H33" s="58"/>
      <c r="I33" s="58"/>
      <c r="J33" s="58"/>
      <c r="K33" s="58"/>
      <c r="L33" s="59"/>
      <c r="M33" s="39"/>
      <c r="N33" s="85"/>
      <c r="O33" s="118"/>
      <c r="P33" s="39"/>
      <c r="Q33" s="103"/>
      <c r="R33" s="109"/>
      <c r="S33" s="105"/>
      <c r="T33" s="39"/>
      <c r="U33" s="39"/>
      <c r="V33" s="63"/>
      <c r="W33" s="63"/>
      <c r="X33" s="39"/>
    </row>
    <row r="34" spans="1:24" ht="20.25" x14ac:dyDescent="0.3">
      <c r="A34" s="119"/>
      <c r="B34" s="67"/>
      <c r="C34" s="73" t="s">
        <v>26</v>
      </c>
      <c r="D34" s="120">
        <f>ROUND(D26*0.56,1)</f>
        <v>212.9</v>
      </c>
      <c r="E34" s="120">
        <f>ROUND(E26*0.56,1)</f>
        <v>147.4</v>
      </c>
      <c r="F34" s="57">
        <f t="shared" si="0"/>
        <v>255.48</v>
      </c>
      <c r="G34" s="57">
        <f t="shared" si="0"/>
        <v>176.88</v>
      </c>
      <c r="H34" s="58"/>
      <c r="I34" s="58"/>
      <c r="J34" s="58"/>
      <c r="K34" s="58"/>
      <c r="L34" s="59"/>
      <c r="M34" s="39"/>
      <c r="N34" s="85"/>
      <c r="O34" s="118"/>
      <c r="P34" s="39"/>
      <c r="Q34" s="103"/>
      <c r="R34" s="109"/>
      <c r="S34" s="105"/>
      <c r="T34" s="39"/>
      <c r="U34" s="39"/>
      <c r="V34" s="63"/>
      <c r="W34" s="63"/>
      <c r="X34" s="39"/>
    </row>
    <row r="35" spans="1:24" ht="20.25" x14ac:dyDescent="0.3">
      <c r="A35" s="119"/>
      <c r="B35" s="75"/>
      <c r="C35" s="76" t="s">
        <v>27</v>
      </c>
      <c r="D35" s="120">
        <f>ROUND(D27*0.56,1)</f>
        <v>230.6</v>
      </c>
      <c r="E35" s="120">
        <f>ROUND(E27*0.56,1)</f>
        <v>159.69999999999999</v>
      </c>
      <c r="F35" s="57">
        <f t="shared" si="0"/>
        <v>276.71999999999997</v>
      </c>
      <c r="G35" s="57">
        <f t="shared" si="0"/>
        <v>191.64</v>
      </c>
      <c r="H35" s="58"/>
      <c r="I35" s="58"/>
      <c r="J35" s="58"/>
      <c r="K35" s="58"/>
      <c r="L35" s="59"/>
      <c r="M35" s="39"/>
      <c r="N35" s="85"/>
      <c r="O35" s="118"/>
      <c r="P35" s="39"/>
      <c r="Q35" s="103"/>
      <c r="R35" s="109"/>
      <c r="S35" s="105"/>
      <c r="T35" s="39"/>
      <c r="U35" s="39"/>
      <c r="V35" s="63"/>
      <c r="W35" s="63"/>
      <c r="X35" s="39"/>
    </row>
    <row r="36" spans="1:24" ht="20.25" x14ac:dyDescent="0.3">
      <c r="A36" s="122"/>
      <c r="B36" s="123"/>
      <c r="C36" s="124"/>
      <c r="D36" s="120"/>
      <c r="E36" s="125"/>
      <c r="F36" s="57">
        <f t="shared" si="0"/>
        <v>0</v>
      </c>
      <c r="G36" s="57">
        <f>ROUND(E36*1.2/1,2)*1</f>
        <v>0</v>
      </c>
      <c r="H36" s="58"/>
      <c r="I36" s="58"/>
      <c r="J36" s="58"/>
      <c r="K36" s="58"/>
      <c r="L36" s="59"/>
      <c r="M36" s="39"/>
      <c r="N36" s="85"/>
      <c r="O36" s="118"/>
      <c r="P36" s="39"/>
      <c r="Q36" s="103"/>
      <c r="R36" s="109"/>
      <c r="S36" s="105"/>
      <c r="T36" s="39"/>
      <c r="U36" s="39"/>
      <c r="V36" s="63"/>
      <c r="W36" s="63"/>
      <c r="X36" s="39"/>
    </row>
    <row r="37" spans="1:24" ht="25.9" customHeight="1" x14ac:dyDescent="0.3">
      <c r="A37" s="122" t="s">
        <v>29</v>
      </c>
      <c r="B37" s="126">
        <v>4</v>
      </c>
      <c r="C37" s="127"/>
      <c r="D37" s="120">
        <v>170</v>
      </c>
      <c r="E37" s="56"/>
      <c r="F37" s="57">
        <f t="shared" si="0"/>
        <v>204</v>
      </c>
      <c r="G37" s="57">
        <f>ROUND(E37*1.2/1,2)*1</f>
        <v>0</v>
      </c>
      <c r="H37" s="58"/>
      <c r="I37" s="58"/>
      <c r="J37" s="58"/>
      <c r="K37" s="128"/>
      <c r="L37" s="59"/>
      <c r="M37" s="129"/>
      <c r="N37" s="85"/>
      <c r="O37" s="111"/>
      <c r="P37" s="39"/>
      <c r="Q37" s="103"/>
      <c r="R37" s="113"/>
      <c r="S37" s="114"/>
      <c r="T37" s="39"/>
      <c r="U37" s="39"/>
      <c r="V37" s="63"/>
      <c r="W37" s="63"/>
      <c r="X37" s="39"/>
    </row>
    <row r="38" spans="1:24" ht="25.9" customHeight="1" x14ac:dyDescent="0.3">
      <c r="A38" s="122" t="s">
        <v>30</v>
      </c>
      <c r="B38" s="130"/>
      <c r="C38" s="131"/>
      <c r="D38" s="132">
        <v>180</v>
      </c>
      <c r="E38" s="133"/>
      <c r="F38" s="57">
        <f t="shared" si="0"/>
        <v>216</v>
      </c>
      <c r="G38" s="57">
        <f>ROUND(E38*1.2/1,2)*1</f>
        <v>0</v>
      </c>
      <c r="H38" s="58"/>
      <c r="I38" s="58"/>
      <c r="J38" s="58"/>
      <c r="K38" s="58"/>
      <c r="L38" s="59"/>
      <c r="M38" s="39"/>
      <c r="N38" s="85"/>
      <c r="O38" s="111"/>
      <c r="P38" s="39"/>
      <c r="Q38" s="103"/>
      <c r="R38" s="113"/>
      <c r="S38" s="114"/>
      <c r="T38" s="39"/>
      <c r="U38" s="39"/>
      <c r="V38" s="63"/>
      <c r="W38" s="63"/>
      <c r="X38" s="39"/>
    </row>
    <row r="39" spans="1:24" ht="25.9" customHeight="1" x14ac:dyDescent="0.3">
      <c r="A39" s="134" t="s">
        <v>31</v>
      </c>
      <c r="B39" s="135"/>
      <c r="C39" s="136"/>
      <c r="D39" s="137">
        <v>190</v>
      </c>
      <c r="E39" s="137"/>
      <c r="F39" s="57">
        <f t="shared" si="0"/>
        <v>228</v>
      </c>
      <c r="G39" s="57">
        <f>ROUND(E39*1.2/1,2)*1</f>
        <v>0</v>
      </c>
      <c r="H39" s="58"/>
      <c r="I39" s="58"/>
      <c r="J39" s="58"/>
      <c r="K39" s="58"/>
      <c r="L39" s="59"/>
      <c r="M39" s="39"/>
      <c r="N39" s="85"/>
      <c r="O39" s="111"/>
      <c r="P39" s="39"/>
      <c r="Q39" s="103"/>
      <c r="R39" s="113"/>
      <c r="S39" s="114"/>
      <c r="T39" s="39"/>
      <c r="U39" s="39"/>
      <c r="V39" s="63"/>
      <c r="W39" s="63"/>
      <c r="X39" s="39"/>
    </row>
    <row r="40" spans="1:24" ht="20.25" x14ac:dyDescent="0.3">
      <c r="A40" s="119" t="s">
        <v>32</v>
      </c>
      <c r="B40" s="80">
        <v>1</v>
      </c>
      <c r="C40" s="138">
        <v>100.125</v>
      </c>
      <c r="D40" s="56">
        <f>ROUND(D21*1.5,1)</f>
        <v>570.20000000000005</v>
      </c>
      <c r="E40" s="56">
        <f>ROUND(E21*1.5,1)</f>
        <v>394.8</v>
      </c>
      <c r="F40" s="56">
        <f>D40*1.2</f>
        <v>684.24</v>
      </c>
      <c r="G40" s="56">
        <f>E40*1.2</f>
        <v>473.76</v>
      </c>
      <c r="H40" s="58"/>
      <c r="I40" s="58"/>
      <c r="J40" s="58"/>
      <c r="K40" s="58"/>
      <c r="L40" s="59"/>
      <c r="M40" s="100"/>
      <c r="N40" s="85"/>
      <c r="O40" s="39"/>
      <c r="P40" s="39"/>
      <c r="Q40" s="139"/>
      <c r="R40" s="140"/>
      <c r="S40" s="114"/>
      <c r="T40" s="39"/>
      <c r="U40" s="39"/>
      <c r="V40" s="63"/>
      <c r="W40" s="63"/>
      <c r="X40" s="39"/>
    </row>
    <row r="41" spans="1:24" ht="20.25" x14ac:dyDescent="0.3">
      <c r="A41" s="141"/>
      <c r="B41" s="142"/>
      <c r="C41" s="143" t="s">
        <v>33</v>
      </c>
      <c r="D41" s="57">
        <f>ROUND(D21*1.7,1)</f>
        <v>646.20000000000005</v>
      </c>
      <c r="E41" s="57">
        <f>ROUND(E21*1.7,1)</f>
        <v>447.5</v>
      </c>
      <c r="F41" s="56">
        <f t="shared" ref="F41:G45" si="1">D41*1.2</f>
        <v>775.44</v>
      </c>
      <c r="G41" s="56">
        <f t="shared" si="1"/>
        <v>537</v>
      </c>
      <c r="H41" s="58"/>
      <c r="I41" s="58"/>
      <c r="J41" s="58"/>
      <c r="K41" s="58"/>
      <c r="L41" s="59"/>
      <c r="M41" s="100"/>
      <c r="N41" s="85"/>
      <c r="O41" s="39"/>
      <c r="P41" s="39"/>
      <c r="Q41" s="103"/>
      <c r="R41" s="109"/>
      <c r="S41" s="105"/>
      <c r="T41" s="39"/>
      <c r="U41" s="39"/>
      <c r="V41" s="144"/>
      <c r="W41" s="144"/>
      <c r="X41" s="39"/>
    </row>
    <row r="42" spans="1:24" ht="20.25" x14ac:dyDescent="0.3">
      <c r="A42" s="145"/>
      <c r="B42" s="110">
        <v>2</v>
      </c>
      <c r="C42" s="146">
        <v>100.125</v>
      </c>
      <c r="D42" s="57">
        <f>ROUND(D25*1.5,1)</f>
        <v>475.1</v>
      </c>
      <c r="E42" s="57">
        <f>ROUND(E25*1.5,1)</f>
        <v>329</v>
      </c>
      <c r="F42" s="56">
        <f t="shared" si="1"/>
        <v>570.12</v>
      </c>
      <c r="G42" s="56">
        <f t="shared" si="1"/>
        <v>394.8</v>
      </c>
      <c r="H42" s="58"/>
      <c r="I42" s="58"/>
      <c r="J42" s="147"/>
      <c r="K42" s="147"/>
      <c r="L42" s="59"/>
      <c r="M42" s="100"/>
      <c r="N42" s="85"/>
      <c r="O42" s="39"/>
      <c r="P42" s="39"/>
      <c r="Q42" s="139"/>
      <c r="R42" s="109"/>
      <c r="S42" s="105"/>
      <c r="T42" s="39"/>
      <c r="U42" s="39"/>
      <c r="V42" s="144"/>
      <c r="W42" s="144"/>
      <c r="X42" s="39"/>
    </row>
    <row r="43" spans="1:24" ht="20.25" x14ac:dyDescent="0.3">
      <c r="A43" s="145"/>
      <c r="B43" s="148"/>
      <c r="C43" s="149" t="s">
        <v>33</v>
      </c>
      <c r="D43" s="57">
        <f>ROUND(D25*1.7,1)</f>
        <v>538.4</v>
      </c>
      <c r="E43" s="57">
        <f>ROUND(E25*1.7,1)</f>
        <v>372.9</v>
      </c>
      <c r="F43" s="56">
        <f t="shared" si="1"/>
        <v>646.07999999999993</v>
      </c>
      <c r="G43" s="56">
        <f t="shared" si="1"/>
        <v>447.47999999999996</v>
      </c>
      <c r="H43" s="58"/>
      <c r="I43" s="58"/>
      <c r="J43" s="103"/>
      <c r="K43" s="103"/>
      <c r="L43" s="59"/>
      <c r="M43" s="100"/>
      <c r="N43" s="85"/>
      <c r="O43" s="39"/>
      <c r="P43" s="39"/>
      <c r="Q43" s="103"/>
      <c r="R43" s="109"/>
      <c r="S43" s="105"/>
      <c r="T43" s="39"/>
      <c r="U43" s="39"/>
      <c r="V43" s="39"/>
      <c r="W43" s="39"/>
      <c r="X43" s="39"/>
    </row>
    <row r="44" spans="1:24" ht="20.25" x14ac:dyDescent="0.3">
      <c r="A44" s="145"/>
      <c r="B44" s="110">
        <v>3</v>
      </c>
      <c r="C44" s="146">
        <v>100.125</v>
      </c>
      <c r="D44" s="57">
        <f>ROUND(D29*1.5,1)</f>
        <v>380.1</v>
      </c>
      <c r="E44" s="57">
        <f>ROUND(E29*1.5,1)</f>
        <v>263.3</v>
      </c>
      <c r="F44" s="56">
        <f t="shared" si="1"/>
        <v>456.12</v>
      </c>
      <c r="G44" s="56">
        <f t="shared" si="1"/>
        <v>315.95999999999998</v>
      </c>
      <c r="H44" s="58"/>
      <c r="I44" s="58"/>
      <c r="J44" s="150"/>
      <c r="K44" s="150"/>
      <c r="L44" s="59"/>
      <c r="M44" s="100"/>
      <c r="N44" s="85"/>
      <c r="O44" s="39"/>
      <c r="P44" s="39"/>
      <c r="Q44" s="139"/>
      <c r="R44" s="109"/>
      <c r="S44" s="105"/>
      <c r="T44" s="39"/>
      <c r="U44" s="39"/>
      <c r="V44" s="39"/>
      <c r="W44" s="39"/>
      <c r="X44" s="39"/>
    </row>
    <row r="45" spans="1:24" ht="20.25" x14ac:dyDescent="0.3">
      <c r="A45" s="142"/>
      <c r="B45" s="142"/>
      <c r="C45" s="149" t="s">
        <v>33</v>
      </c>
      <c r="D45" s="57">
        <f>ROUND(D29*1.7,1)</f>
        <v>430.8</v>
      </c>
      <c r="E45" s="57">
        <f>ROUND(E29*1.7,1)</f>
        <v>298.39999999999998</v>
      </c>
      <c r="F45" s="56">
        <f t="shared" si="1"/>
        <v>516.96</v>
      </c>
      <c r="G45" s="56">
        <f>E45*1.2</f>
        <v>358.08</v>
      </c>
      <c r="H45" s="58"/>
      <c r="I45" s="58"/>
      <c r="J45" s="151"/>
      <c r="K45" s="151"/>
      <c r="L45" s="59"/>
      <c r="M45" s="100"/>
      <c r="N45" s="85"/>
      <c r="O45" s="39"/>
    </row>
    <row r="46" spans="1:24" ht="20.25" x14ac:dyDescent="0.3">
      <c r="A46" s="139"/>
      <c r="B46" s="139"/>
      <c r="C46" s="152"/>
      <c r="D46" s="153"/>
      <c r="E46" s="153"/>
      <c r="F46" s="153"/>
      <c r="G46" s="153"/>
      <c r="H46" s="58"/>
      <c r="I46" s="58"/>
      <c r="J46" s="151"/>
      <c r="K46" s="151"/>
      <c r="L46" s="59"/>
      <c r="M46" s="100"/>
      <c r="N46" s="85"/>
      <c r="O46" s="39"/>
    </row>
    <row r="47" spans="1:24" ht="61.5" customHeight="1" x14ac:dyDescent="0.35">
      <c r="A47" s="154" t="s">
        <v>34</v>
      </c>
      <c r="B47" s="154"/>
      <c r="C47" s="154"/>
      <c r="D47" s="154"/>
      <c r="E47" s="154"/>
      <c r="F47" s="154"/>
      <c r="G47" s="154"/>
      <c r="H47" s="155"/>
      <c r="I47" s="155"/>
      <c r="J47" s="155"/>
      <c r="K47" s="155"/>
      <c r="L47" s="155"/>
      <c r="M47" s="155"/>
      <c r="N47" s="155"/>
      <c r="O47" s="156"/>
      <c r="P47" s="100"/>
      <c r="Q47" s="157"/>
    </row>
    <row r="48" spans="1:24" ht="20.25" x14ac:dyDescent="0.3">
      <c r="A48" s="13" t="s">
        <v>35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58"/>
      <c r="N48" s="58"/>
      <c r="O48" s="39"/>
      <c r="P48" s="39"/>
      <c r="Q48" s="158"/>
    </row>
    <row r="49" spans="1:18" ht="48" customHeight="1" x14ac:dyDescent="0.2">
      <c r="A49" s="42" t="s">
        <v>15</v>
      </c>
      <c r="B49" s="42" t="s">
        <v>16</v>
      </c>
      <c r="C49" s="42" t="s">
        <v>17</v>
      </c>
      <c r="D49" s="43" t="s">
        <v>18</v>
      </c>
      <c r="E49" s="44"/>
      <c r="F49" s="45" t="s">
        <v>19</v>
      </c>
      <c r="G49" s="45"/>
      <c r="H49" s="159"/>
      <c r="I49" s="47"/>
      <c r="J49" s="47"/>
      <c r="K49" s="47"/>
      <c r="L49" s="47"/>
      <c r="M49" s="47"/>
      <c r="N49" s="47"/>
      <c r="O49" s="47"/>
      <c r="P49" s="39"/>
    </row>
    <row r="50" spans="1:18" ht="30" customHeight="1" x14ac:dyDescent="0.3">
      <c r="A50" s="49"/>
      <c r="B50" s="49"/>
      <c r="C50" s="49"/>
      <c r="D50" s="50" t="s">
        <v>20</v>
      </c>
      <c r="E50" s="50" t="s">
        <v>21</v>
      </c>
      <c r="F50" s="50" t="s">
        <v>20</v>
      </c>
      <c r="G50" s="50" t="s">
        <v>21</v>
      </c>
      <c r="H50" s="51"/>
      <c r="I50" s="52"/>
      <c r="J50" s="52"/>
      <c r="K50" s="52"/>
      <c r="L50" s="52"/>
      <c r="M50" s="52"/>
      <c r="N50" s="52"/>
      <c r="O50" s="52"/>
      <c r="P50" s="39"/>
    </row>
    <row r="51" spans="1:18" ht="20.25" x14ac:dyDescent="0.3">
      <c r="A51" s="53" t="s">
        <v>22</v>
      </c>
      <c r="B51" s="160">
        <v>1</v>
      </c>
      <c r="C51" s="55" t="s">
        <v>24</v>
      </c>
      <c r="D51" s="56">
        <f>D55*1.2</f>
        <v>337.56360000000006</v>
      </c>
      <c r="E51" s="56">
        <f>E55*1.2</f>
        <v>289.54200000000003</v>
      </c>
      <c r="F51" s="56">
        <f t="shared" ref="F51:G72" si="2">ROUND(D51*1.2/1,2)*1</f>
        <v>405.08</v>
      </c>
      <c r="G51" s="56">
        <f t="shared" si="2"/>
        <v>347.45</v>
      </c>
      <c r="H51" s="39"/>
      <c r="I51" s="59"/>
      <c r="J51" s="39"/>
      <c r="K51" s="58"/>
      <c r="L51" s="58"/>
      <c r="M51" s="58"/>
      <c r="N51" s="58"/>
      <c r="O51" s="59"/>
      <c r="P51" s="39"/>
    </row>
    <row r="52" spans="1:18" ht="20.25" x14ac:dyDescent="0.3">
      <c r="A52" s="67"/>
      <c r="B52" s="161"/>
      <c r="C52" s="68" t="s">
        <v>25</v>
      </c>
      <c r="D52" s="56">
        <f t="shared" ref="D52:E54" si="3">D56*1.2</f>
        <v>306.87600000000003</v>
      </c>
      <c r="E52" s="56">
        <f t="shared" si="3"/>
        <v>263.22000000000003</v>
      </c>
      <c r="F52" s="56">
        <f t="shared" si="2"/>
        <v>368.25</v>
      </c>
      <c r="G52" s="56">
        <f t="shared" si="2"/>
        <v>315.86</v>
      </c>
      <c r="H52" s="39"/>
      <c r="I52" s="59"/>
      <c r="J52" s="39"/>
      <c r="K52" s="58"/>
      <c r="L52" s="58"/>
      <c r="M52" s="58"/>
      <c r="N52" s="58"/>
      <c r="O52" s="59"/>
      <c r="P52" s="39"/>
    </row>
    <row r="53" spans="1:18" ht="38.25" customHeight="1" x14ac:dyDescent="0.3">
      <c r="A53" s="67"/>
      <c r="B53" s="161"/>
      <c r="C53" s="73" t="s">
        <v>26</v>
      </c>
      <c r="D53" s="56">
        <f t="shared" si="3"/>
        <v>368.25120000000004</v>
      </c>
      <c r="E53" s="56">
        <f t="shared" si="3"/>
        <v>315.83999999999997</v>
      </c>
      <c r="F53" s="56">
        <f t="shared" si="2"/>
        <v>441.9</v>
      </c>
      <c r="G53" s="56">
        <f t="shared" si="2"/>
        <v>379.01</v>
      </c>
      <c r="H53" s="39"/>
      <c r="I53" s="59"/>
      <c r="J53" s="39"/>
      <c r="K53" s="58"/>
      <c r="L53" s="58"/>
      <c r="M53" s="74"/>
      <c r="N53" s="162"/>
      <c r="O53" s="59"/>
      <c r="P53" s="163"/>
    </row>
    <row r="54" spans="1:18" ht="20.25" x14ac:dyDescent="0.3">
      <c r="A54" s="67"/>
      <c r="B54" s="164"/>
      <c r="C54" s="76" t="s">
        <v>27</v>
      </c>
      <c r="D54" s="56">
        <f t="shared" si="3"/>
        <v>398.93880000000001</v>
      </c>
      <c r="E54" s="56">
        <f t="shared" si="3"/>
        <v>342.18600000000004</v>
      </c>
      <c r="F54" s="56">
        <f t="shared" si="2"/>
        <v>478.73</v>
      </c>
      <c r="G54" s="56">
        <f t="shared" si="2"/>
        <v>410.62</v>
      </c>
      <c r="H54" s="39"/>
      <c r="I54" s="59"/>
      <c r="J54" s="39"/>
      <c r="K54" s="58"/>
      <c r="L54" s="58"/>
      <c r="M54" s="58"/>
      <c r="N54" s="58"/>
      <c r="O54" s="59"/>
      <c r="P54" s="165"/>
    </row>
    <row r="55" spans="1:18" ht="20.25" x14ac:dyDescent="0.3">
      <c r="A55" s="94"/>
      <c r="B55" s="160">
        <v>2</v>
      </c>
      <c r="C55" s="55" t="s">
        <v>24</v>
      </c>
      <c r="D55" s="56">
        <f>D56*1.1</f>
        <v>281.30300000000005</v>
      </c>
      <c r="E55" s="56">
        <f>E56*1.1</f>
        <v>241.28500000000005</v>
      </c>
      <c r="F55" s="56">
        <f t="shared" si="2"/>
        <v>337.56</v>
      </c>
      <c r="G55" s="56">
        <f t="shared" si="2"/>
        <v>289.54000000000002</v>
      </c>
      <c r="H55" s="39"/>
      <c r="I55" s="59"/>
      <c r="J55" s="39"/>
      <c r="K55" s="58"/>
      <c r="L55" s="58"/>
      <c r="M55" s="58"/>
      <c r="N55" s="58"/>
      <c r="O55" s="59"/>
      <c r="P55" s="165"/>
    </row>
    <row r="56" spans="1:18" ht="20.25" x14ac:dyDescent="0.3">
      <c r="A56" s="166"/>
      <c r="B56" s="161"/>
      <c r="C56" s="68" t="s">
        <v>25</v>
      </c>
      <c r="D56" s="98">
        <f>239*1.07</f>
        <v>255.73000000000002</v>
      </c>
      <c r="E56" s="98">
        <f>205*1.07</f>
        <v>219.35000000000002</v>
      </c>
      <c r="F56" s="56">
        <f t="shared" si="2"/>
        <v>306.88</v>
      </c>
      <c r="G56" s="56">
        <f t="shared" si="2"/>
        <v>263.22000000000003</v>
      </c>
      <c r="H56" s="39"/>
      <c r="I56" s="59"/>
      <c r="J56" s="39"/>
      <c r="K56" s="58"/>
      <c r="L56" s="58"/>
      <c r="M56" s="99"/>
      <c r="N56" s="99"/>
      <c r="O56" s="59"/>
      <c r="P56" s="68"/>
    </row>
    <row r="57" spans="1:18" ht="20.25" x14ac:dyDescent="0.3">
      <c r="A57" s="67" t="s">
        <v>28</v>
      </c>
      <c r="B57" s="161"/>
      <c r="C57" s="73" t="s">
        <v>26</v>
      </c>
      <c r="D57" s="56">
        <f>D56*1.2</f>
        <v>306.87600000000003</v>
      </c>
      <c r="E57" s="56">
        <f>ROUND((E56*1.2)/1,1)*1</f>
        <v>263.2</v>
      </c>
      <c r="F57" s="56">
        <f t="shared" si="2"/>
        <v>368.25</v>
      </c>
      <c r="G57" s="56">
        <f t="shared" si="2"/>
        <v>315.83999999999997</v>
      </c>
      <c r="H57" s="39"/>
      <c r="I57" s="59"/>
      <c r="J57" s="39"/>
      <c r="K57" s="58"/>
      <c r="L57" s="58"/>
      <c r="M57" s="74"/>
      <c r="N57" s="58"/>
      <c r="O57" s="59"/>
      <c r="P57" s="163"/>
      <c r="Q57" s="167"/>
    </row>
    <row r="58" spans="1:18" ht="20.25" x14ac:dyDescent="0.3">
      <c r="A58" s="67"/>
      <c r="B58" s="161"/>
      <c r="C58" s="76" t="s">
        <v>27</v>
      </c>
      <c r="D58" s="56">
        <f>D56*1.3</f>
        <v>332.44900000000001</v>
      </c>
      <c r="E58" s="56">
        <f>E56*1.3</f>
        <v>285.15500000000003</v>
      </c>
      <c r="F58" s="56">
        <f t="shared" si="2"/>
        <v>398.94</v>
      </c>
      <c r="G58" s="56">
        <f t="shared" si="2"/>
        <v>342.19</v>
      </c>
      <c r="H58" s="39"/>
      <c r="I58" s="59"/>
      <c r="J58" s="39"/>
      <c r="K58" s="58"/>
      <c r="L58" s="58"/>
      <c r="M58" s="74"/>
      <c r="N58" s="58"/>
      <c r="O58" s="59"/>
      <c r="P58" s="165"/>
      <c r="Q58" s="168"/>
      <c r="R58" s="169"/>
    </row>
    <row r="59" spans="1:18" ht="20.25" x14ac:dyDescent="0.3">
      <c r="A59" s="119"/>
      <c r="B59" s="110">
        <v>3</v>
      </c>
      <c r="C59" s="55" t="s">
        <v>24</v>
      </c>
      <c r="D59" s="56">
        <f t="shared" ref="D59:E62" si="4">D55*0.8</f>
        <v>225.04240000000004</v>
      </c>
      <c r="E59" s="56">
        <f t="shared" si="4"/>
        <v>193.02800000000005</v>
      </c>
      <c r="F59" s="56">
        <f t="shared" si="2"/>
        <v>270.05</v>
      </c>
      <c r="G59" s="56">
        <f t="shared" si="2"/>
        <v>231.63</v>
      </c>
      <c r="H59" s="39"/>
      <c r="I59" s="59"/>
      <c r="J59" s="39"/>
      <c r="K59" s="58"/>
      <c r="L59" s="58"/>
      <c r="M59" s="74"/>
      <c r="N59" s="74"/>
      <c r="O59" s="59"/>
      <c r="P59" s="165"/>
    </row>
    <row r="60" spans="1:18" ht="20.25" x14ac:dyDescent="0.3">
      <c r="A60" s="119" t="s">
        <v>36</v>
      </c>
      <c r="B60" s="80"/>
      <c r="C60" s="68" t="s">
        <v>25</v>
      </c>
      <c r="D60" s="56">
        <f t="shared" si="4"/>
        <v>204.58400000000003</v>
      </c>
      <c r="E60" s="56">
        <f t="shared" si="4"/>
        <v>175.48000000000002</v>
      </c>
      <c r="F60" s="56">
        <f t="shared" si="2"/>
        <v>245.5</v>
      </c>
      <c r="G60" s="56">
        <f t="shared" si="2"/>
        <v>210.58</v>
      </c>
      <c r="H60" s="39"/>
      <c r="I60" s="59"/>
      <c r="J60" s="39"/>
      <c r="K60" s="58"/>
      <c r="L60" s="58"/>
      <c r="M60" s="58"/>
      <c r="N60" s="58"/>
      <c r="O60" s="59"/>
      <c r="P60" s="165"/>
    </row>
    <row r="61" spans="1:18" ht="20.25" x14ac:dyDescent="0.3">
      <c r="A61" s="119"/>
      <c r="B61" s="80"/>
      <c r="C61" s="73" t="s">
        <v>26</v>
      </c>
      <c r="D61" s="56">
        <f t="shared" si="4"/>
        <v>245.50080000000003</v>
      </c>
      <c r="E61" s="56">
        <f t="shared" si="4"/>
        <v>210.56</v>
      </c>
      <c r="F61" s="56">
        <f t="shared" si="2"/>
        <v>294.60000000000002</v>
      </c>
      <c r="G61" s="56">
        <f t="shared" si="2"/>
        <v>252.67</v>
      </c>
      <c r="H61" s="39"/>
      <c r="I61" s="59"/>
      <c r="J61" s="39"/>
      <c r="K61" s="58"/>
      <c r="L61" s="58"/>
      <c r="M61" s="74"/>
      <c r="N61" s="58"/>
      <c r="O61" s="59"/>
      <c r="P61" s="90"/>
      <c r="R61" s="170"/>
    </row>
    <row r="62" spans="1:18" ht="20.25" x14ac:dyDescent="0.3">
      <c r="A62" s="119"/>
      <c r="B62" s="80"/>
      <c r="C62" s="76" t="s">
        <v>27</v>
      </c>
      <c r="D62" s="57">
        <f t="shared" si="4"/>
        <v>265.95920000000001</v>
      </c>
      <c r="E62" s="57">
        <f t="shared" si="4"/>
        <v>228.12400000000002</v>
      </c>
      <c r="F62" s="56">
        <f t="shared" si="2"/>
        <v>319.14999999999998</v>
      </c>
      <c r="G62" s="56">
        <f t="shared" si="2"/>
        <v>273.75</v>
      </c>
      <c r="H62" s="39"/>
      <c r="I62" s="59"/>
      <c r="J62" s="39"/>
      <c r="K62" s="58"/>
      <c r="L62" s="58"/>
      <c r="M62" s="58"/>
      <c r="N62" s="58"/>
      <c r="O62" s="59"/>
      <c r="P62" s="39"/>
    </row>
    <row r="63" spans="1:18" ht="20.25" x14ac:dyDescent="0.3">
      <c r="A63" s="122" t="s">
        <v>37</v>
      </c>
      <c r="B63" s="126"/>
      <c r="C63" s="171"/>
      <c r="D63" s="120"/>
      <c r="E63" s="125"/>
      <c r="F63" s="56">
        <f t="shared" si="2"/>
        <v>0</v>
      </c>
      <c r="G63" s="56">
        <f t="shared" si="2"/>
        <v>0</v>
      </c>
      <c r="H63" s="39"/>
      <c r="I63" s="59"/>
      <c r="J63" s="39"/>
      <c r="K63" s="58"/>
      <c r="L63" s="58"/>
      <c r="M63" s="58"/>
      <c r="N63" s="58"/>
      <c r="O63" s="59"/>
      <c r="P63" s="39"/>
    </row>
    <row r="64" spans="1:18" ht="20.25" x14ac:dyDescent="0.3">
      <c r="A64" s="122" t="s">
        <v>29</v>
      </c>
      <c r="B64" s="172"/>
      <c r="C64" s="173"/>
      <c r="D64" s="120">
        <v>170</v>
      </c>
      <c r="E64" s="57"/>
      <c r="F64" s="56">
        <f t="shared" si="2"/>
        <v>204</v>
      </c>
      <c r="G64" s="56">
        <f t="shared" si="2"/>
        <v>0</v>
      </c>
      <c r="H64" s="39"/>
      <c r="I64" s="59"/>
      <c r="J64" s="39"/>
      <c r="K64" s="58"/>
      <c r="L64" s="58"/>
      <c r="M64" s="58"/>
      <c r="N64" s="58"/>
      <c r="O64" s="59"/>
      <c r="P64" s="129"/>
    </row>
    <row r="65" spans="1:16" ht="20.25" x14ac:dyDescent="0.3">
      <c r="A65" s="171" t="s">
        <v>30</v>
      </c>
      <c r="B65" s="174"/>
      <c r="C65" s="173"/>
      <c r="D65" s="132">
        <v>180</v>
      </c>
      <c r="E65" s="137"/>
      <c r="F65" s="56">
        <f t="shared" si="2"/>
        <v>216</v>
      </c>
      <c r="G65" s="56">
        <f t="shared" si="2"/>
        <v>0</v>
      </c>
      <c r="H65" s="39"/>
      <c r="I65" s="59"/>
      <c r="J65" s="39"/>
      <c r="K65" s="58"/>
      <c r="L65" s="58"/>
      <c r="M65" s="58"/>
      <c r="N65" s="58"/>
      <c r="O65" s="59"/>
      <c r="P65" s="39"/>
    </row>
    <row r="66" spans="1:16" ht="20.25" x14ac:dyDescent="0.3">
      <c r="A66" s="175" t="s">
        <v>31</v>
      </c>
      <c r="B66" s="176"/>
      <c r="C66" s="177"/>
      <c r="D66" s="137">
        <v>190</v>
      </c>
      <c r="E66" s="137"/>
      <c r="F66" s="56">
        <f t="shared" si="2"/>
        <v>228</v>
      </c>
      <c r="G66" s="56">
        <f t="shared" si="2"/>
        <v>0</v>
      </c>
      <c r="H66" s="39"/>
      <c r="I66" s="59"/>
      <c r="J66" s="39"/>
      <c r="K66" s="58"/>
      <c r="L66" s="58"/>
      <c r="M66" s="58"/>
      <c r="N66" s="58"/>
      <c r="O66" s="59"/>
      <c r="P66" s="39"/>
    </row>
    <row r="67" spans="1:16" ht="20.25" x14ac:dyDescent="0.3">
      <c r="A67" s="67" t="s">
        <v>32</v>
      </c>
      <c r="B67" s="80">
        <v>1</v>
      </c>
      <c r="C67" s="138">
        <v>100.125</v>
      </c>
      <c r="D67" s="56">
        <f>D52*1.5</f>
        <v>460.31400000000008</v>
      </c>
      <c r="E67" s="56">
        <f>E52*1.5</f>
        <v>394.83000000000004</v>
      </c>
      <c r="F67" s="56">
        <f t="shared" si="2"/>
        <v>552.38</v>
      </c>
      <c r="G67" s="56">
        <f t="shared" si="2"/>
        <v>473.8</v>
      </c>
      <c r="H67" s="39"/>
      <c r="I67" s="59"/>
      <c r="J67" s="39"/>
      <c r="K67" s="58"/>
      <c r="L67" s="58"/>
      <c r="M67" s="58"/>
      <c r="N67" s="58"/>
      <c r="O67" s="59"/>
      <c r="P67" s="39"/>
    </row>
    <row r="68" spans="1:16" ht="20.25" x14ac:dyDescent="0.3">
      <c r="A68" s="145"/>
      <c r="B68" s="148"/>
      <c r="C68" s="149" t="s">
        <v>33</v>
      </c>
      <c r="D68" s="57">
        <f>D52*1.7</f>
        <v>521.68920000000003</v>
      </c>
      <c r="E68" s="57">
        <f>E52*1.7</f>
        <v>447.47400000000005</v>
      </c>
      <c r="F68" s="56">
        <f t="shared" si="2"/>
        <v>626.03</v>
      </c>
      <c r="G68" s="56">
        <f t="shared" si="2"/>
        <v>536.97</v>
      </c>
      <c r="H68" s="39"/>
      <c r="I68" s="59"/>
      <c r="J68" s="39"/>
      <c r="K68" s="58"/>
      <c r="L68" s="58"/>
      <c r="M68" s="58"/>
      <c r="N68" s="58"/>
      <c r="O68" s="59"/>
    </row>
    <row r="69" spans="1:16" ht="20.25" x14ac:dyDescent="0.3">
      <c r="A69" s="145"/>
      <c r="B69" s="110">
        <v>2</v>
      </c>
      <c r="C69" s="146">
        <v>100.125</v>
      </c>
      <c r="D69" s="57">
        <f>D56*1.5</f>
        <v>383.59500000000003</v>
      </c>
      <c r="E69" s="57">
        <f>E56*1.5</f>
        <v>329.02500000000003</v>
      </c>
      <c r="F69" s="56">
        <f t="shared" si="2"/>
        <v>460.31</v>
      </c>
      <c r="G69" s="56">
        <f t="shared" si="2"/>
        <v>394.83</v>
      </c>
      <c r="H69" s="39"/>
      <c r="I69" s="59"/>
      <c r="J69" s="39"/>
      <c r="K69" s="58"/>
      <c r="L69" s="58"/>
      <c r="M69" s="147"/>
      <c r="N69" s="147"/>
      <c r="O69" s="59"/>
    </row>
    <row r="70" spans="1:16" ht="20.25" x14ac:dyDescent="0.3">
      <c r="A70" s="145"/>
      <c r="B70" s="148"/>
      <c r="C70" s="149" t="s">
        <v>33</v>
      </c>
      <c r="D70" s="57">
        <f>D56*1.7</f>
        <v>434.74100000000004</v>
      </c>
      <c r="E70" s="57">
        <f>E56*1.7</f>
        <v>372.89500000000004</v>
      </c>
      <c r="F70" s="56">
        <f t="shared" si="2"/>
        <v>521.69000000000005</v>
      </c>
      <c r="G70" s="56">
        <f t="shared" si="2"/>
        <v>447.47</v>
      </c>
      <c r="H70" s="39"/>
      <c r="I70" s="59"/>
      <c r="J70" s="39"/>
      <c r="K70" s="58"/>
      <c r="L70" s="58"/>
      <c r="M70" s="150"/>
      <c r="N70" s="150"/>
      <c r="O70" s="59"/>
    </row>
    <row r="71" spans="1:16" ht="20.25" x14ac:dyDescent="0.3">
      <c r="A71" s="145"/>
      <c r="B71" s="110">
        <v>3</v>
      </c>
      <c r="C71" s="146">
        <v>100.125</v>
      </c>
      <c r="D71" s="57">
        <f>D60*1.5</f>
        <v>306.87600000000003</v>
      </c>
      <c r="E71" s="57">
        <f>E60*1.5</f>
        <v>263.22000000000003</v>
      </c>
      <c r="F71" s="56">
        <f t="shared" si="2"/>
        <v>368.25</v>
      </c>
      <c r="G71" s="56">
        <f t="shared" si="2"/>
        <v>315.86</v>
      </c>
      <c r="H71" s="39"/>
      <c r="I71" s="59"/>
      <c r="J71" s="39"/>
      <c r="K71" s="58"/>
      <c r="L71" s="58"/>
      <c r="M71" s="150"/>
      <c r="N71" s="150"/>
      <c r="O71" s="59"/>
    </row>
    <row r="72" spans="1:16" ht="20.25" x14ac:dyDescent="0.3">
      <c r="A72" s="142"/>
      <c r="B72" s="148"/>
      <c r="C72" s="149" t="s">
        <v>33</v>
      </c>
      <c r="D72" s="57">
        <f>D60*1.7</f>
        <v>347.79280000000006</v>
      </c>
      <c r="E72" s="57">
        <f>E60*1.7</f>
        <v>298.31600000000003</v>
      </c>
      <c r="F72" s="56">
        <f t="shared" si="2"/>
        <v>417.35</v>
      </c>
      <c r="G72" s="56">
        <f t="shared" si="2"/>
        <v>357.98</v>
      </c>
      <c r="H72" s="39"/>
      <c r="I72" s="59"/>
      <c r="J72" s="39"/>
      <c r="K72" s="58"/>
      <c r="L72" s="58"/>
      <c r="M72" s="151"/>
      <c r="N72" s="151"/>
      <c r="O72" s="59"/>
    </row>
    <row r="73" spans="1:16" ht="20.25" x14ac:dyDescent="0.3">
      <c r="A73" s="139"/>
      <c r="B73" s="178"/>
      <c r="C73" s="140"/>
      <c r="D73" s="59"/>
      <c r="E73" s="59"/>
      <c r="F73" s="59"/>
      <c r="G73" s="59"/>
      <c r="H73" s="39"/>
      <c r="I73" s="59"/>
      <c r="J73" s="39"/>
      <c r="K73" s="58"/>
      <c r="L73" s="58"/>
      <c r="M73" s="151"/>
      <c r="N73" s="151"/>
      <c r="O73" s="59"/>
    </row>
    <row r="74" spans="1:16" ht="20.25" x14ac:dyDescent="0.3">
      <c r="A74" s="139"/>
      <c r="B74" s="178"/>
      <c r="C74" s="140"/>
      <c r="D74" s="59"/>
      <c r="E74" s="59"/>
      <c r="F74" s="59"/>
      <c r="G74" s="59"/>
      <c r="H74" s="39"/>
      <c r="I74" s="59"/>
      <c r="J74" s="39"/>
      <c r="K74" s="58"/>
      <c r="L74" s="58"/>
      <c r="M74" s="151"/>
      <c r="N74" s="151"/>
      <c r="O74" s="59"/>
    </row>
    <row r="75" spans="1:16" ht="20.25" x14ac:dyDescent="0.3">
      <c r="A75" s="179" t="s">
        <v>38</v>
      </c>
      <c r="B75" s="179"/>
      <c r="C75" s="179"/>
      <c r="D75" s="179"/>
      <c r="E75" s="179"/>
      <c r="F75" s="179"/>
      <c r="G75" s="179"/>
      <c r="H75" s="39"/>
      <c r="I75" s="59"/>
      <c r="J75" s="39"/>
      <c r="K75" s="58"/>
      <c r="L75" s="58"/>
      <c r="M75" s="151"/>
      <c r="N75" s="151"/>
      <c r="O75" s="59"/>
    </row>
    <row r="76" spans="1:16" ht="20.25" x14ac:dyDescent="0.3">
      <c r="D76" s="1" t="s">
        <v>35</v>
      </c>
      <c r="H76" s="39"/>
      <c r="I76" s="59"/>
      <c r="J76" s="39"/>
      <c r="K76" s="58"/>
      <c r="L76" s="58"/>
      <c r="M76" s="151"/>
      <c r="N76" s="151"/>
      <c r="O76" s="59"/>
    </row>
    <row r="77" spans="1:16" ht="20.25" x14ac:dyDescent="0.3">
      <c r="A77" s="180" t="s">
        <v>39</v>
      </c>
      <c r="B77" s="181"/>
      <c r="C77" s="181"/>
      <c r="D77" s="181"/>
      <c r="E77" s="181"/>
      <c r="F77" s="181"/>
      <c r="G77" s="182"/>
      <c r="H77" s="39"/>
      <c r="I77" s="59"/>
      <c r="J77" s="39"/>
      <c r="K77" s="58"/>
      <c r="L77" s="58"/>
      <c r="M77" s="151"/>
      <c r="N77" s="151"/>
      <c r="O77" s="59"/>
    </row>
    <row r="78" spans="1:16" ht="20.25" customHeight="1" x14ac:dyDescent="0.3">
      <c r="A78" s="42"/>
      <c r="B78" s="42" t="s">
        <v>16</v>
      </c>
      <c r="C78" s="42" t="s">
        <v>17</v>
      </c>
      <c r="D78" s="43" t="s">
        <v>18</v>
      </c>
      <c r="E78" s="183"/>
      <c r="F78" s="43" t="s">
        <v>19</v>
      </c>
      <c r="G78" s="183"/>
      <c r="H78" s="39"/>
      <c r="I78" s="59"/>
      <c r="J78" s="39"/>
      <c r="K78" s="58"/>
      <c r="L78" s="58"/>
      <c r="M78" s="151"/>
      <c r="N78" s="151"/>
      <c r="O78" s="59"/>
    </row>
    <row r="79" spans="1:16" ht="20.25" x14ac:dyDescent="0.3">
      <c r="A79" s="184"/>
      <c r="B79" s="184"/>
      <c r="C79" s="184"/>
      <c r="D79" s="50" t="s">
        <v>20</v>
      </c>
      <c r="E79" s="50" t="s">
        <v>21</v>
      </c>
      <c r="F79" s="50" t="s">
        <v>20</v>
      </c>
      <c r="G79" s="50" t="s">
        <v>21</v>
      </c>
      <c r="H79" s="39"/>
      <c r="I79" s="59"/>
      <c r="J79" s="39"/>
      <c r="K79" s="58"/>
      <c r="L79" s="58"/>
      <c r="M79" s="151"/>
      <c r="N79" s="151"/>
      <c r="O79" s="59"/>
    </row>
    <row r="80" spans="1:16" ht="20.25" x14ac:dyDescent="0.3">
      <c r="A80" s="53"/>
      <c r="B80" s="110">
        <v>1</v>
      </c>
      <c r="C80" s="55" t="s">
        <v>24</v>
      </c>
      <c r="D80" s="56">
        <f t="shared" ref="D80:E83" si="5">ROUND((D84*1.2)/1,1)*1</f>
        <v>906.8</v>
      </c>
      <c r="E80" s="56">
        <f t="shared" si="5"/>
        <v>675.8</v>
      </c>
      <c r="F80" s="56">
        <f t="shared" ref="F80:G95" si="6">ROUND(D80*1.2/1,2)*1</f>
        <v>1088.1600000000001</v>
      </c>
      <c r="G80" s="56">
        <f t="shared" si="6"/>
        <v>810.96</v>
      </c>
      <c r="H80" s="39"/>
      <c r="I80" s="59"/>
      <c r="J80" s="39"/>
      <c r="K80" s="58"/>
      <c r="L80" s="58"/>
      <c r="M80" s="151"/>
      <c r="N80" s="151"/>
      <c r="O80" s="59"/>
    </row>
    <row r="81" spans="1:15" ht="20.25" x14ac:dyDescent="0.3">
      <c r="A81" s="67"/>
      <c r="B81" s="80"/>
      <c r="C81" s="68" t="s">
        <v>25</v>
      </c>
      <c r="D81" s="56">
        <f t="shared" si="5"/>
        <v>824.4</v>
      </c>
      <c r="E81" s="56">
        <f t="shared" si="5"/>
        <v>614.4</v>
      </c>
      <c r="F81" s="56">
        <f t="shared" si="6"/>
        <v>989.28</v>
      </c>
      <c r="G81" s="56">
        <f t="shared" si="6"/>
        <v>737.28</v>
      </c>
      <c r="H81" s="39"/>
      <c r="I81" s="59"/>
      <c r="J81" s="39"/>
      <c r="K81" s="58"/>
      <c r="L81" s="58"/>
      <c r="M81" s="151"/>
      <c r="N81" s="151"/>
      <c r="O81" s="59"/>
    </row>
    <row r="82" spans="1:15" ht="20.25" x14ac:dyDescent="0.3">
      <c r="A82" s="67"/>
      <c r="B82" s="80"/>
      <c r="C82" s="73" t="s">
        <v>26</v>
      </c>
      <c r="D82" s="89">
        <f t="shared" si="5"/>
        <v>989.3</v>
      </c>
      <c r="E82" s="89">
        <f t="shared" si="5"/>
        <v>737.3</v>
      </c>
      <c r="F82" s="56">
        <f t="shared" si="6"/>
        <v>1187.1600000000001</v>
      </c>
      <c r="G82" s="56">
        <f t="shared" si="6"/>
        <v>884.76</v>
      </c>
      <c r="H82" s="39"/>
      <c r="I82" s="59"/>
      <c r="J82" s="39"/>
      <c r="K82" s="58"/>
      <c r="L82" s="58"/>
      <c r="M82" s="151"/>
      <c r="N82" s="151"/>
      <c r="O82" s="59"/>
    </row>
    <row r="83" spans="1:15" ht="20.25" x14ac:dyDescent="0.3">
      <c r="A83" s="67" t="s">
        <v>28</v>
      </c>
      <c r="B83" s="185"/>
      <c r="C83" s="76" t="s">
        <v>27</v>
      </c>
      <c r="D83" s="56">
        <f t="shared" si="5"/>
        <v>1071.7</v>
      </c>
      <c r="E83" s="56">
        <f t="shared" si="5"/>
        <v>798.7</v>
      </c>
      <c r="F83" s="56">
        <f t="shared" si="6"/>
        <v>1286.04</v>
      </c>
      <c r="G83" s="56">
        <f t="shared" si="6"/>
        <v>958.44</v>
      </c>
      <c r="H83" s="39"/>
      <c r="I83" s="59"/>
      <c r="J83" s="39"/>
      <c r="K83" s="58"/>
      <c r="L83" s="58"/>
      <c r="M83" s="151"/>
      <c r="N83" s="151"/>
      <c r="O83" s="59"/>
    </row>
    <row r="84" spans="1:15" ht="20.25" x14ac:dyDescent="0.3">
      <c r="A84" s="84"/>
      <c r="B84" s="110">
        <v>2</v>
      </c>
      <c r="C84" s="55" t="s">
        <v>24</v>
      </c>
      <c r="D84" s="57">
        <f>ROUND(D85*1.1/1,1)*1</f>
        <v>755.7</v>
      </c>
      <c r="E84" s="57">
        <f>ROUND(E85*1.1/1,1)*1</f>
        <v>563.20000000000005</v>
      </c>
      <c r="F84" s="56">
        <f t="shared" si="6"/>
        <v>906.84</v>
      </c>
      <c r="G84" s="56">
        <f t="shared" si="6"/>
        <v>675.84</v>
      </c>
      <c r="H84" s="39"/>
      <c r="I84" s="59"/>
      <c r="J84" s="39"/>
      <c r="K84" s="58"/>
      <c r="L84" s="58"/>
      <c r="M84" s="151"/>
      <c r="N84" s="151"/>
      <c r="O84" s="59"/>
    </row>
    <row r="85" spans="1:15" ht="20.25" x14ac:dyDescent="0.3">
      <c r="A85" s="84"/>
      <c r="B85" s="186"/>
      <c r="C85" s="68" t="s">
        <v>25</v>
      </c>
      <c r="D85" s="187">
        <f>ROUND(470*1.1*1.035*1.2*1.07,0)</f>
        <v>687</v>
      </c>
      <c r="E85" s="187">
        <f>ROUND(335*1.15*1.035*1.2*1.07,0)</f>
        <v>512</v>
      </c>
      <c r="F85" s="56">
        <f t="shared" si="6"/>
        <v>824.4</v>
      </c>
      <c r="G85" s="56">
        <f t="shared" si="6"/>
        <v>614.4</v>
      </c>
      <c r="H85" s="39"/>
      <c r="I85" s="59"/>
      <c r="J85" s="39"/>
      <c r="K85" s="58"/>
      <c r="L85" s="58"/>
      <c r="M85" s="151"/>
      <c r="N85" s="151"/>
      <c r="O85" s="59"/>
    </row>
    <row r="86" spans="1:15" ht="20.25" x14ac:dyDescent="0.3">
      <c r="A86" s="84" t="s">
        <v>40</v>
      </c>
      <c r="B86" s="80"/>
      <c r="C86" s="73" t="s">
        <v>26</v>
      </c>
      <c r="D86" s="57">
        <f>ROUND(D85*1.2/1,1)*1</f>
        <v>824.4</v>
      </c>
      <c r="E86" s="57">
        <f>ROUND(E85*1.2/1,1)*1</f>
        <v>614.4</v>
      </c>
      <c r="F86" s="56">
        <f t="shared" si="6"/>
        <v>989.28</v>
      </c>
      <c r="G86" s="56">
        <f t="shared" si="6"/>
        <v>737.28</v>
      </c>
      <c r="H86" s="39"/>
      <c r="I86" s="59"/>
      <c r="J86" s="39"/>
      <c r="K86" s="58"/>
      <c r="L86" s="58"/>
      <c r="M86" s="151"/>
      <c r="N86" s="151"/>
      <c r="O86" s="59"/>
    </row>
    <row r="87" spans="1:15" ht="39" customHeight="1" x14ac:dyDescent="0.3">
      <c r="A87" s="84"/>
      <c r="B87" s="185"/>
      <c r="C87" s="76" t="s">
        <v>27</v>
      </c>
      <c r="D87" s="57">
        <f>ROUND(D85*1.3/1,1)*1</f>
        <v>893.1</v>
      </c>
      <c r="E87" s="57">
        <f>ROUND(E85*1.3/1,1)*1</f>
        <v>665.6</v>
      </c>
      <c r="F87" s="56">
        <f t="shared" si="6"/>
        <v>1071.72</v>
      </c>
      <c r="G87" s="56">
        <f t="shared" si="6"/>
        <v>798.72</v>
      </c>
      <c r="H87" s="39"/>
      <c r="I87" s="59"/>
      <c r="J87" s="39"/>
      <c r="K87" s="58"/>
      <c r="L87" s="58"/>
      <c r="M87" s="151"/>
      <c r="N87" s="151"/>
      <c r="O87" s="59"/>
    </row>
    <row r="88" spans="1:15" ht="20.25" x14ac:dyDescent="0.3">
      <c r="A88" s="67"/>
      <c r="B88" s="110">
        <v>3</v>
      </c>
      <c r="C88" s="55" t="s">
        <v>24</v>
      </c>
      <c r="D88" s="56">
        <f t="shared" ref="D88:E91" si="7">ROUND((D84*0.8)/1,1)*1</f>
        <v>604.6</v>
      </c>
      <c r="E88" s="56">
        <f t="shared" si="7"/>
        <v>450.6</v>
      </c>
      <c r="F88" s="56">
        <f t="shared" si="6"/>
        <v>725.52</v>
      </c>
      <c r="G88" s="56">
        <f t="shared" si="6"/>
        <v>540.72</v>
      </c>
      <c r="H88" s="39"/>
      <c r="I88" s="59"/>
      <c r="J88" s="39"/>
      <c r="K88" s="58"/>
      <c r="L88" s="58"/>
      <c r="M88" s="151"/>
      <c r="N88" s="151"/>
      <c r="O88" s="59"/>
    </row>
    <row r="89" spans="1:15" ht="20.25" x14ac:dyDescent="0.3">
      <c r="A89" s="67" t="s">
        <v>36</v>
      </c>
      <c r="B89" s="80"/>
      <c r="C89" s="68" t="s">
        <v>25</v>
      </c>
      <c r="D89" s="56">
        <f t="shared" si="7"/>
        <v>549.6</v>
      </c>
      <c r="E89" s="56">
        <f t="shared" si="7"/>
        <v>409.6</v>
      </c>
      <c r="F89" s="56">
        <f t="shared" si="6"/>
        <v>659.52</v>
      </c>
      <c r="G89" s="56">
        <f t="shared" si="6"/>
        <v>491.52</v>
      </c>
      <c r="H89" s="39"/>
      <c r="I89" s="59"/>
      <c r="J89" s="39"/>
      <c r="K89" s="58"/>
      <c r="L89" s="58"/>
      <c r="M89" s="151"/>
      <c r="N89" s="151"/>
      <c r="O89" s="59"/>
    </row>
    <row r="90" spans="1:15" ht="20.25" x14ac:dyDescent="0.3">
      <c r="A90" s="67"/>
      <c r="B90" s="67"/>
      <c r="C90" s="73" t="s">
        <v>26</v>
      </c>
      <c r="D90" s="56">
        <f t="shared" si="7"/>
        <v>659.5</v>
      </c>
      <c r="E90" s="56">
        <f t="shared" si="7"/>
        <v>491.5</v>
      </c>
      <c r="F90" s="56">
        <f t="shared" si="6"/>
        <v>791.4</v>
      </c>
      <c r="G90" s="56">
        <f t="shared" si="6"/>
        <v>589.79999999999995</v>
      </c>
      <c r="H90" s="39"/>
      <c r="I90" s="59"/>
      <c r="J90" s="39"/>
      <c r="K90" s="58"/>
      <c r="L90" s="58"/>
      <c r="M90" s="151"/>
      <c r="N90" s="151"/>
      <c r="O90" s="59"/>
    </row>
    <row r="91" spans="1:15" ht="22.5" customHeight="1" x14ac:dyDescent="0.3">
      <c r="A91" s="75"/>
      <c r="B91" s="75"/>
      <c r="C91" s="76" t="s">
        <v>27</v>
      </c>
      <c r="D91" s="57">
        <f t="shared" si="7"/>
        <v>714.5</v>
      </c>
      <c r="E91" s="57">
        <f t="shared" si="7"/>
        <v>532.5</v>
      </c>
      <c r="F91" s="56">
        <f t="shared" si="6"/>
        <v>857.4</v>
      </c>
      <c r="G91" s="56">
        <f t="shared" si="6"/>
        <v>639</v>
      </c>
      <c r="H91" s="39"/>
      <c r="I91" s="59"/>
      <c r="J91" s="39"/>
      <c r="K91" s="58"/>
      <c r="L91" s="58"/>
      <c r="M91" s="151"/>
      <c r="N91" s="151"/>
      <c r="O91" s="59"/>
    </row>
    <row r="92" spans="1:15" ht="22.5" customHeight="1" x14ac:dyDescent="0.3">
      <c r="A92" s="67" t="s">
        <v>32</v>
      </c>
      <c r="B92" s="80">
        <v>1</v>
      </c>
      <c r="C92" s="138">
        <v>100.125</v>
      </c>
      <c r="D92" s="56">
        <f>ROUND(D81*1.5/1,1)*1</f>
        <v>1236.5999999999999</v>
      </c>
      <c r="E92" s="56">
        <f>ROUND(E81*1.5/1,1)*1</f>
        <v>921.6</v>
      </c>
      <c r="F92" s="56">
        <f t="shared" si="6"/>
        <v>1483.92</v>
      </c>
      <c r="G92" s="56">
        <f t="shared" si="6"/>
        <v>1105.92</v>
      </c>
      <c r="H92" s="39"/>
      <c r="I92" s="59"/>
      <c r="J92" s="39"/>
      <c r="K92" s="58"/>
      <c r="L92" s="58"/>
      <c r="M92" s="151"/>
      <c r="N92" s="151"/>
      <c r="O92" s="59"/>
    </row>
    <row r="93" spans="1:15" ht="22.5" customHeight="1" x14ac:dyDescent="0.3">
      <c r="A93" s="145"/>
      <c r="B93" s="148"/>
      <c r="C93" s="149" t="s">
        <v>33</v>
      </c>
      <c r="D93" s="57">
        <f>ROUND(D81*1.7/1,1)*1</f>
        <v>1401.5</v>
      </c>
      <c r="E93" s="57">
        <f>ROUND(E81*1.7/1,1)*1</f>
        <v>1044.5</v>
      </c>
      <c r="F93" s="56">
        <f t="shared" si="6"/>
        <v>1681.8</v>
      </c>
      <c r="G93" s="56">
        <f t="shared" si="6"/>
        <v>1253.4000000000001</v>
      </c>
      <c r="H93" s="39"/>
      <c r="I93" s="59"/>
      <c r="J93" s="39"/>
      <c r="K93" s="58"/>
      <c r="L93" s="58"/>
      <c r="M93" s="151"/>
      <c r="N93" s="151"/>
      <c r="O93" s="59"/>
    </row>
    <row r="94" spans="1:15" ht="22.5" customHeight="1" x14ac:dyDescent="0.3">
      <c r="A94" s="145"/>
      <c r="B94" s="110">
        <v>2</v>
      </c>
      <c r="C94" s="146">
        <v>100.125</v>
      </c>
      <c r="D94" s="57">
        <f>ROUND(D85*1.5/1,1)*1</f>
        <v>1030.5</v>
      </c>
      <c r="E94" s="57">
        <f>ROUND(E85*1.5/1,1)*1</f>
        <v>768</v>
      </c>
      <c r="F94" s="56">
        <f t="shared" si="6"/>
        <v>1236.5999999999999</v>
      </c>
      <c r="G94" s="56">
        <f t="shared" si="6"/>
        <v>921.6</v>
      </c>
      <c r="H94" s="39"/>
      <c r="I94" s="59"/>
      <c r="J94" s="39"/>
      <c r="K94" s="58"/>
      <c r="L94" s="58"/>
      <c r="M94" s="151"/>
      <c r="N94" s="151"/>
      <c r="O94" s="59"/>
    </row>
    <row r="95" spans="1:15" ht="22.5" customHeight="1" x14ac:dyDescent="0.3">
      <c r="A95" s="145"/>
      <c r="B95" s="148"/>
      <c r="C95" s="149" t="s">
        <v>33</v>
      </c>
      <c r="D95" s="57">
        <f>ROUND(D85*1.7/1,1)*1</f>
        <v>1167.9000000000001</v>
      </c>
      <c r="E95" s="57">
        <f>ROUND(E85*1.7/1,1)*1</f>
        <v>870.4</v>
      </c>
      <c r="F95" s="56">
        <f t="shared" si="6"/>
        <v>1401.48</v>
      </c>
      <c r="G95" s="56">
        <f t="shared" si="6"/>
        <v>1044.48</v>
      </c>
      <c r="H95" s="39"/>
      <c r="I95" s="59"/>
      <c r="J95" s="39"/>
      <c r="K95" s="58"/>
      <c r="L95" s="58"/>
      <c r="M95" s="151"/>
      <c r="N95" s="151"/>
      <c r="O95" s="59"/>
    </row>
    <row r="96" spans="1:15" ht="22.5" customHeight="1" x14ac:dyDescent="0.3">
      <c r="A96" s="145"/>
      <c r="B96" s="110">
        <v>3</v>
      </c>
      <c r="C96" s="146">
        <v>100.125</v>
      </c>
      <c r="D96" s="57">
        <f>ROUND(D89*1.5/1,1)*1</f>
        <v>824.4</v>
      </c>
      <c r="E96" s="57">
        <f>ROUND(E89*1.5/1,1)*1</f>
        <v>614.4</v>
      </c>
      <c r="F96" s="56">
        <f>ROUND(D96*1.2/1,2)*1</f>
        <v>989.28</v>
      </c>
      <c r="G96" s="56">
        <f>ROUND(E96*1.2/1,2)*1</f>
        <v>737.28</v>
      </c>
      <c r="H96" s="39"/>
      <c r="I96" s="59"/>
      <c r="J96" s="39"/>
      <c r="K96" s="58"/>
      <c r="L96" s="58"/>
      <c r="M96" s="151"/>
      <c r="N96" s="151"/>
      <c r="O96" s="59"/>
    </row>
    <row r="97" spans="1:21" ht="22.5" customHeight="1" x14ac:dyDescent="0.3">
      <c r="A97" s="142"/>
      <c r="B97" s="148"/>
      <c r="C97" s="149" t="s">
        <v>33</v>
      </c>
      <c r="D97" s="57">
        <f>ROUND(D89*1.7/1,1)*1</f>
        <v>934.3</v>
      </c>
      <c r="E97" s="57">
        <f>ROUND(E89*1.7/1,1)*1</f>
        <v>696.3</v>
      </c>
      <c r="F97" s="56">
        <f>ROUND(D97*1.2/1,2)*1</f>
        <v>1121.1600000000001</v>
      </c>
      <c r="G97" s="56">
        <f>ROUND(E97*1.2/1,2)*1</f>
        <v>835.56</v>
      </c>
      <c r="H97" s="39"/>
      <c r="I97" s="59"/>
      <c r="J97" s="39"/>
      <c r="K97" s="58"/>
      <c r="L97" s="58"/>
      <c r="M97" s="151"/>
      <c r="N97" s="151"/>
      <c r="O97" s="59"/>
    </row>
    <row r="98" spans="1:21" ht="22.5" x14ac:dyDescent="0.3">
      <c r="A98" s="188" t="s">
        <v>41</v>
      </c>
      <c r="B98" s="189"/>
      <c r="C98" s="189"/>
      <c r="D98" s="189"/>
      <c r="E98" s="189"/>
      <c r="F98" s="189"/>
      <c r="G98" s="189"/>
      <c r="H98" s="190"/>
      <c r="I98" s="190"/>
      <c r="J98" s="190"/>
      <c r="K98" s="190"/>
      <c r="L98" s="190"/>
      <c r="M98" s="190"/>
      <c r="N98" s="190"/>
      <c r="O98" s="191"/>
      <c r="P98" s="192"/>
    </row>
    <row r="99" spans="1:21" ht="20.25" x14ac:dyDescent="0.3">
      <c r="A99" s="193" t="s">
        <v>42</v>
      </c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74"/>
      <c r="N99" s="39"/>
      <c r="O99" s="194"/>
    </row>
    <row r="100" spans="1:21" ht="20.25" x14ac:dyDescent="0.3">
      <c r="A100" s="195" t="s">
        <v>14</v>
      </c>
      <c r="B100" s="37"/>
      <c r="C100" s="37"/>
      <c r="D100" s="37"/>
      <c r="E100" s="37"/>
      <c r="F100" s="37"/>
      <c r="G100" s="37"/>
      <c r="H100" s="38"/>
      <c r="I100" s="38"/>
      <c r="J100" s="38"/>
      <c r="K100" s="38"/>
      <c r="L100" s="38"/>
      <c r="M100" s="74"/>
      <c r="N100" s="58"/>
      <c r="O100" s="194"/>
    </row>
    <row r="101" spans="1:21" ht="42.75" customHeight="1" x14ac:dyDescent="0.2">
      <c r="A101" s="42" t="s">
        <v>43</v>
      </c>
      <c r="B101" s="42" t="s">
        <v>16</v>
      </c>
      <c r="C101" s="42" t="s">
        <v>17</v>
      </c>
      <c r="D101" s="43" t="s">
        <v>18</v>
      </c>
      <c r="E101" s="44"/>
      <c r="F101" s="45" t="s">
        <v>19</v>
      </c>
      <c r="G101" s="45"/>
      <c r="H101" s="196"/>
      <c r="I101" s="196"/>
      <c r="J101" s="196"/>
      <c r="K101" s="196"/>
      <c r="L101" s="196"/>
      <c r="M101" s="196"/>
      <c r="N101" s="196"/>
      <c r="O101" s="196"/>
    </row>
    <row r="102" spans="1:21" ht="20.25" x14ac:dyDescent="0.3">
      <c r="A102" s="49"/>
      <c r="B102" s="184"/>
      <c r="C102" s="49"/>
      <c r="D102" s="50" t="s">
        <v>20</v>
      </c>
      <c r="E102" s="50" t="s">
        <v>21</v>
      </c>
      <c r="F102" s="50" t="s">
        <v>20</v>
      </c>
      <c r="G102" s="50" t="s">
        <v>21</v>
      </c>
      <c r="H102" s="197"/>
      <c r="I102" s="197"/>
      <c r="J102" s="197"/>
      <c r="K102" s="197"/>
      <c r="L102" s="197"/>
      <c r="M102" s="197"/>
      <c r="N102" s="197"/>
      <c r="O102" s="197"/>
    </row>
    <row r="103" spans="1:21" ht="20.25" x14ac:dyDescent="0.3">
      <c r="A103" s="53" t="s">
        <v>44</v>
      </c>
      <c r="B103" s="198">
        <v>1</v>
      </c>
      <c r="C103" s="55" t="s">
        <v>24</v>
      </c>
      <c r="D103" s="56">
        <f t="shared" ref="D103:E106" si="8">ROUND((D107*1.2)/1,1)*1</f>
        <v>543.5</v>
      </c>
      <c r="E103" s="56">
        <f t="shared" si="8"/>
        <v>405.4</v>
      </c>
      <c r="F103" s="56">
        <f t="shared" ref="F103:G122" si="9">ROUND(D103*1.2/1,2)*1</f>
        <v>652.20000000000005</v>
      </c>
      <c r="G103" s="56">
        <f t="shared" si="9"/>
        <v>486.48</v>
      </c>
      <c r="H103" s="199"/>
      <c r="I103" s="200"/>
      <c r="J103" s="199"/>
      <c r="K103" s="129"/>
      <c r="L103" s="129"/>
      <c r="M103" s="201"/>
      <c r="N103" s="201"/>
      <c r="O103" s="200"/>
    </row>
    <row r="104" spans="1:21" ht="20.25" x14ac:dyDescent="0.3">
      <c r="A104" s="84"/>
      <c r="B104" s="80"/>
      <c r="C104" s="68" t="s">
        <v>25</v>
      </c>
      <c r="D104" s="56">
        <f t="shared" si="8"/>
        <v>494.1</v>
      </c>
      <c r="E104" s="56">
        <f t="shared" si="8"/>
        <v>368.5</v>
      </c>
      <c r="F104" s="56">
        <f t="shared" si="9"/>
        <v>592.91999999999996</v>
      </c>
      <c r="G104" s="56">
        <f t="shared" si="9"/>
        <v>442.2</v>
      </c>
      <c r="H104" s="199"/>
      <c r="I104" s="200"/>
      <c r="J104" s="199"/>
      <c r="K104" s="129"/>
      <c r="L104" s="129"/>
      <c r="M104" s="201"/>
      <c r="N104" s="201"/>
      <c r="O104" s="200"/>
      <c r="P104" s="202"/>
      <c r="Q104" s="203"/>
      <c r="R104" s="203"/>
    </row>
    <row r="105" spans="1:21" ht="20.25" x14ac:dyDescent="0.3">
      <c r="A105" s="67"/>
      <c r="B105" s="80"/>
      <c r="C105" s="73" t="s">
        <v>26</v>
      </c>
      <c r="D105" s="89">
        <f t="shared" si="8"/>
        <v>592.9</v>
      </c>
      <c r="E105" s="89">
        <f t="shared" si="8"/>
        <v>442.2</v>
      </c>
      <c r="F105" s="56">
        <f t="shared" si="9"/>
        <v>711.48</v>
      </c>
      <c r="G105" s="56">
        <f t="shared" si="9"/>
        <v>530.64</v>
      </c>
      <c r="H105" s="199"/>
      <c r="I105" s="200"/>
      <c r="J105" s="199"/>
      <c r="K105" s="129"/>
      <c r="L105" s="129"/>
      <c r="M105" s="201"/>
      <c r="N105" s="201"/>
      <c r="O105" s="200"/>
      <c r="P105" s="202"/>
    </row>
    <row r="106" spans="1:21" ht="20.25" x14ac:dyDescent="0.3">
      <c r="A106" s="67"/>
      <c r="B106" s="185"/>
      <c r="C106" s="76" t="s">
        <v>27</v>
      </c>
      <c r="D106" s="56">
        <f t="shared" si="8"/>
        <v>642.4</v>
      </c>
      <c r="E106" s="56">
        <f t="shared" si="8"/>
        <v>479</v>
      </c>
      <c r="F106" s="56">
        <f t="shared" si="9"/>
        <v>770.88</v>
      </c>
      <c r="G106" s="56">
        <f t="shared" si="9"/>
        <v>574.79999999999995</v>
      </c>
      <c r="H106" s="199"/>
      <c r="I106" s="200"/>
      <c r="J106" s="199"/>
      <c r="K106" s="129"/>
      <c r="L106" s="129"/>
      <c r="M106" s="201"/>
      <c r="N106" s="201"/>
      <c r="O106" s="200"/>
      <c r="Q106" s="203"/>
    </row>
    <row r="107" spans="1:21" ht="20.25" x14ac:dyDescent="0.3">
      <c r="A107" s="94"/>
      <c r="B107" s="80">
        <v>2</v>
      </c>
      <c r="C107" s="55" t="s">
        <v>24</v>
      </c>
      <c r="D107" s="56">
        <f>ROUND((D108*1.1)/1,1)*1</f>
        <v>452.9</v>
      </c>
      <c r="E107" s="56">
        <f>ROUND((E108*1.1)/1,1)*1</f>
        <v>337.8</v>
      </c>
      <c r="F107" s="56">
        <f t="shared" si="9"/>
        <v>543.48</v>
      </c>
      <c r="G107" s="56">
        <f t="shared" si="9"/>
        <v>405.36</v>
      </c>
      <c r="H107" s="199" t="s">
        <v>45</v>
      </c>
      <c r="I107" s="200"/>
      <c r="J107" s="199"/>
      <c r="K107" s="129"/>
      <c r="L107" s="129"/>
      <c r="M107" s="201"/>
      <c r="N107" s="201"/>
      <c r="O107" s="200"/>
      <c r="Q107" s="203"/>
    </row>
    <row r="108" spans="1:21" ht="20.25" x14ac:dyDescent="0.3">
      <c r="A108" s="94"/>
      <c r="B108" s="80"/>
      <c r="C108" s="68" t="s">
        <v>25</v>
      </c>
      <c r="D108" s="204">
        <f>D25*1.3</f>
        <v>411.73600000000005</v>
      </c>
      <c r="E108" s="204">
        <f>E25*1.4</f>
        <v>307.09000000000003</v>
      </c>
      <c r="F108" s="205">
        <f t="shared" si="9"/>
        <v>494.08</v>
      </c>
      <c r="G108" s="205">
        <f t="shared" si="9"/>
        <v>368.51</v>
      </c>
      <c r="H108" s="199">
        <f>D108-D25</f>
        <v>95.01600000000002</v>
      </c>
      <c r="I108" s="199">
        <f>E108-E25</f>
        <v>87.740000000000009</v>
      </c>
      <c r="J108" s="199"/>
      <c r="K108" s="129"/>
      <c r="L108" s="129"/>
      <c r="M108" s="201"/>
      <c r="N108" s="201"/>
      <c r="O108" s="200"/>
      <c r="Q108" s="203"/>
    </row>
    <row r="109" spans="1:21" ht="20.25" x14ac:dyDescent="0.3">
      <c r="A109" s="67"/>
      <c r="B109" s="80"/>
      <c r="C109" s="73" t="s">
        <v>26</v>
      </c>
      <c r="D109" s="56">
        <f>ROUND((D108*1.2)/1,1)*1</f>
        <v>494.1</v>
      </c>
      <c r="E109" s="56">
        <f>ROUND((E108*1.2)/1,1)*1</f>
        <v>368.5</v>
      </c>
      <c r="F109" s="56">
        <f t="shared" si="9"/>
        <v>592.91999999999996</v>
      </c>
      <c r="G109" s="56">
        <f t="shared" si="9"/>
        <v>442.2</v>
      </c>
      <c r="H109" s="199"/>
      <c r="I109" s="200"/>
      <c r="J109" s="199"/>
      <c r="K109" s="129"/>
      <c r="L109" s="129"/>
      <c r="M109" s="201"/>
      <c r="N109" s="201"/>
      <c r="O109" s="200"/>
      <c r="Q109" s="203"/>
    </row>
    <row r="110" spans="1:21" ht="20.25" x14ac:dyDescent="0.3">
      <c r="A110" s="67" t="s">
        <v>28</v>
      </c>
      <c r="B110" s="185"/>
      <c r="C110" s="76" t="s">
        <v>27</v>
      </c>
      <c r="D110" s="56">
        <f>ROUND((D108*1.3)/1,1)*1</f>
        <v>535.29999999999995</v>
      </c>
      <c r="E110" s="56">
        <f>ROUND((E108*1.3)/1,1)*1</f>
        <v>399.2</v>
      </c>
      <c r="F110" s="56">
        <f t="shared" si="9"/>
        <v>642.36</v>
      </c>
      <c r="G110" s="56">
        <f t="shared" si="9"/>
        <v>479.04</v>
      </c>
      <c r="H110" s="39"/>
      <c r="I110" s="59"/>
      <c r="J110" s="39"/>
      <c r="K110" s="58"/>
      <c r="L110" s="58"/>
      <c r="M110" s="206"/>
      <c r="N110" s="206"/>
      <c r="O110" s="59"/>
    </row>
    <row r="111" spans="1:21" ht="20.25" x14ac:dyDescent="0.3">
      <c r="A111" s="67"/>
      <c r="B111" s="80">
        <v>3</v>
      </c>
      <c r="C111" s="55" t="s">
        <v>24</v>
      </c>
      <c r="D111" s="56">
        <f t="shared" ref="D111:E114" si="10">ROUND((D107*0.8)/1,1)*1</f>
        <v>362.3</v>
      </c>
      <c r="E111" s="56">
        <f t="shared" si="10"/>
        <v>270.2</v>
      </c>
      <c r="F111" s="56">
        <f t="shared" si="9"/>
        <v>434.76</v>
      </c>
      <c r="G111" s="56">
        <f t="shared" si="9"/>
        <v>324.24</v>
      </c>
      <c r="H111" s="39"/>
      <c r="I111" s="59"/>
      <c r="J111" s="39"/>
      <c r="K111" s="58"/>
      <c r="L111" s="58"/>
      <c r="M111" s="206"/>
      <c r="N111" s="206"/>
      <c r="O111" s="59"/>
      <c r="R111" s="192"/>
      <c r="S111" s="192"/>
    </row>
    <row r="112" spans="1:21" ht="20.25" x14ac:dyDescent="0.3">
      <c r="A112" s="67"/>
      <c r="B112" s="80"/>
      <c r="C112" s="68" t="s">
        <v>25</v>
      </c>
      <c r="D112" s="56">
        <f t="shared" si="10"/>
        <v>329.4</v>
      </c>
      <c r="E112" s="56">
        <f t="shared" si="10"/>
        <v>245.7</v>
      </c>
      <c r="F112" s="56">
        <f t="shared" si="9"/>
        <v>395.28</v>
      </c>
      <c r="G112" s="56">
        <f t="shared" si="9"/>
        <v>294.83999999999997</v>
      </c>
      <c r="H112" s="39"/>
      <c r="I112" s="59"/>
      <c r="J112" s="39"/>
      <c r="K112" s="58"/>
      <c r="L112" s="58"/>
      <c r="M112" s="206"/>
      <c r="N112" s="206"/>
      <c r="O112" s="59"/>
      <c r="T112" s="203"/>
      <c r="U112" s="207"/>
    </row>
    <row r="113" spans="1:21" ht="20.25" x14ac:dyDescent="0.3">
      <c r="A113" s="67"/>
      <c r="B113" s="80"/>
      <c r="C113" s="73" t="s">
        <v>26</v>
      </c>
      <c r="D113" s="56">
        <f t="shared" si="10"/>
        <v>395.3</v>
      </c>
      <c r="E113" s="56">
        <f t="shared" si="10"/>
        <v>294.8</v>
      </c>
      <c r="F113" s="56">
        <f t="shared" si="9"/>
        <v>474.36</v>
      </c>
      <c r="G113" s="56">
        <f t="shared" si="9"/>
        <v>353.76</v>
      </c>
      <c r="H113" s="39"/>
      <c r="I113" s="59"/>
      <c r="J113" s="39"/>
      <c r="K113" s="58"/>
      <c r="L113" s="58"/>
      <c r="M113" s="206"/>
      <c r="N113" s="206"/>
      <c r="O113" s="59"/>
      <c r="Q113" s="203">
        <f>D113*0.5+D109*0.5</f>
        <v>444.70000000000005</v>
      </c>
      <c r="T113" s="203"/>
      <c r="U113" s="207"/>
    </row>
    <row r="114" spans="1:21" ht="20.25" x14ac:dyDescent="0.3">
      <c r="A114" s="67"/>
      <c r="B114" s="80"/>
      <c r="C114" s="76" t="s">
        <v>27</v>
      </c>
      <c r="D114" s="208">
        <f t="shared" si="10"/>
        <v>428.2</v>
      </c>
      <c r="E114" s="208">
        <f t="shared" si="10"/>
        <v>319.39999999999998</v>
      </c>
      <c r="F114" s="209">
        <f t="shared" si="9"/>
        <v>513.84</v>
      </c>
      <c r="G114" s="209">
        <f t="shared" si="9"/>
        <v>383.28</v>
      </c>
      <c r="H114" s="39"/>
      <c r="I114" s="59"/>
      <c r="J114" s="39"/>
      <c r="K114" s="58"/>
      <c r="L114" s="58"/>
      <c r="M114" s="206"/>
      <c r="N114" s="206"/>
      <c r="O114" s="59"/>
      <c r="T114" s="203"/>
      <c r="U114" s="207"/>
    </row>
    <row r="115" spans="1:21" ht="20.25" x14ac:dyDescent="0.3">
      <c r="A115" s="210"/>
      <c r="B115" s="110"/>
      <c r="C115" s="211"/>
      <c r="D115" s="212"/>
      <c r="E115" s="213"/>
      <c r="F115" s="208"/>
      <c r="G115" s="208"/>
      <c r="H115" s="39"/>
      <c r="I115" s="59"/>
      <c r="J115" s="39"/>
      <c r="K115" s="58"/>
      <c r="L115" s="58"/>
      <c r="M115" s="206"/>
      <c r="N115" s="206"/>
      <c r="O115" s="59"/>
      <c r="T115" s="203"/>
      <c r="U115" s="207"/>
    </row>
    <row r="116" spans="1:21" ht="20.25" x14ac:dyDescent="0.3">
      <c r="A116" s="214"/>
      <c r="B116" s="185"/>
      <c r="C116" s="215"/>
      <c r="D116" s="216"/>
      <c r="E116" s="125"/>
      <c r="F116" s="56"/>
      <c r="G116" s="56"/>
      <c r="H116" s="39"/>
      <c r="I116" s="59"/>
      <c r="J116" s="39"/>
      <c r="K116" s="58"/>
      <c r="L116" s="58"/>
      <c r="M116" s="206"/>
      <c r="N116" s="206"/>
      <c r="O116" s="59"/>
    </row>
    <row r="117" spans="1:21" ht="20.25" x14ac:dyDescent="0.3">
      <c r="A117" s="67" t="s">
        <v>32</v>
      </c>
      <c r="B117" s="80">
        <v>1</v>
      </c>
      <c r="C117" s="138">
        <v>100.125</v>
      </c>
      <c r="D117" s="56">
        <f>ROUND(D104*1.5/1,1)*1</f>
        <v>741.2</v>
      </c>
      <c r="E117" s="56">
        <f>ROUND(E104*1.5/1,1)*1</f>
        <v>552.79999999999995</v>
      </c>
      <c r="F117" s="56">
        <f t="shared" si="9"/>
        <v>889.44</v>
      </c>
      <c r="G117" s="56">
        <f t="shared" si="9"/>
        <v>663.36</v>
      </c>
      <c r="H117" s="39"/>
      <c r="I117" s="59"/>
      <c r="J117" s="39"/>
      <c r="K117" s="58"/>
      <c r="L117" s="58"/>
      <c r="M117" s="206"/>
      <c r="N117" s="206"/>
      <c r="O117" s="59"/>
    </row>
    <row r="118" spans="1:21" ht="20.25" x14ac:dyDescent="0.3">
      <c r="A118" s="145"/>
      <c r="B118" s="148"/>
      <c r="C118" s="149" t="s">
        <v>33</v>
      </c>
      <c r="D118" s="57">
        <f>ROUND(D104*1.7/1,1)*1</f>
        <v>840</v>
      </c>
      <c r="E118" s="57">
        <f>ROUND(E104*1.7/1,1)*1</f>
        <v>626.5</v>
      </c>
      <c r="F118" s="56">
        <f t="shared" si="9"/>
        <v>1008</v>
      </c>
      <c r="G118" s="56">
        <f t="shared" si="9"/>
        <v>751.8</v>
      </c>
      <c r="H118" s="39"/>
      <c r="I118" s="59"/>
      <c r="J118" s="39"/>
      <c r="K118" s="58"/>
      <c r="L118" s="58"/>
      <c r="M118" s="206"/>
      <c r="N118" s="206"/>
      <c r="O118" s="59"/>
    </row>
    <row r="119" spans="1:21" ht="20.25" x14ac:dyDescent="0.3">
      <c r="A119" s="145"/>
      <c r="B119" s="110">
        <v>2</v>
      </c>
      <c r="C119" s="146">
        <v>100.125</v>
      </c>
      <c r="D119" s="57">
        <f>ROUND(D108*1.5/1,1)*1</f>
        <v>617.6</v>
      </c>
      <c r="E119" s="57">
        <f>ROUND(E108*1.5/1,1)*1</f>
        <v>460.6</v>
      </c>
      <c r="F119" s="56">
        <f t="shared" si="9"/>
        <v>741.12</v>
      </c>
      <c r="G119" s="56">
        <f t="shared" si="9"/>
        <v>552.72</v>
      </c>
      <c r="H119" s="39"/>
      <c r="I119" s="59"/>
      <c r="J119" s="39"/>
      <c r="K119" s="58"/>
      <c r="L119" s="58"/>
      <c r="M119" s="206"/>
      <c r="N119" s="206"/>
      <c r="O119" s="59"/>
    </row>
    <row r="120" spans="1:21" ht="20.25" x14ac:dyDescent="0.3">
      <c r="A120" s="145"/>
      <c r="B120" s="148"/>
      <c r="C120" s="149" t="s">
        <v>33</v>
      </c>
      <c r="D120" s="57">
        <f>ROUND(D108*1.7/1,1)*1</f>
        <v>700</v>
      </c>
      <c r="E120" s="57">
        <f>ROUND(E108*1.7/1,1)*1</f>
        <v>522.1</v>
      </c>
      <c r="F120" s="56">
        <f t="shared" si="9"/>
        <v>840</v>
      </c>
      <c r="G120" s="56">
        <f t="shared" si="9"/>
        <v>626.52</v>
      </c>
      <c r="H120" s="39"/>
      <c r="I120" s="59"/>
      <c r="J120" s="39"/>
      <c r="K120" s="58"/>
      <c r="L120" s="58"/>
      <c r="M120" s="206"/>
      <c r="N120" s="206"/>
      <c r="O120" s="59"/>
    </row>
    <row r="121" spans="1:21" ht="20.25" x14ac:dyDescent="0.3">
      <c r="A121" s="145"/>
      <c r="B121" s="110">
        <v>3</v>
      </c>
      <c r="C121" s="146">
        <v>100.125</v>
      </c>
      <c r="D121" s="57">
        <f>ROUND(D112*1.5/1,1)*1</f>
        <v>494.1</v>
      </c>
      <c r="E121" s="57">
        <f>ROUND(E112*1.5/1,1)*1</f>
        <v>368.6</v>
      </c>
      <c r="F121" s="56">
        <f t="shared" si="9"/>
        <v>592.91999999999996</v>
      </c>
      <c r="G121" s="56">
        <f t="shared" si="9"/>
        <v>442.32</v>
      </c>
      <c r="H121" s="39"/>
      <c r="I121" s="59"/>
      <c r="J121" s="39"/>
      <c r="K121" s="58"/>
      <c r="L121" s="58"/>
      <c r="M121" s="206"/>
      <c r="N121" s="206"/>
      <c r="O121" s="59"/>
    </row>
    <row r="122" spans="1:21" ht="20.25" x14ac:dyDescent="0.3">
      <c r="A122" s="142"/>
      <c r="B122" s="148"/>
      <c r="C122" s="149" t="s">
        <v>33</v>
      </c>
      <c r="D122" s="57">
        <f>ROUND(D112*1.7/1,1)*1</f>
        <v>560</v>
      </c>
      <c r="E122" s="57">
        <f>ROUND(E112*1.7/1,1)*1</f>
        <v>417.7</v>
      </c>
      <c r="F122" s="56">
        <f t="shared" si="9"/>
        <v>672</v>
      </c>
      <c r="G122" s="56">
        <f t="shared" si="9"/>
        <v>501.24</v>
      </c>
      <c r="H122" s="39"/>
      <c r="I122" s="59"/>
      <c r="J122" s="39"/>
      <c r="K122" s="58"/>
      <c r="L122" s="58"/>
      <c r="M122" s="206"/>
      <c r="N122" s="206"/>
      <c r="O122" s="59"/>
    </row>
    <row r="123" spans="1:21" ht="20.25" x14ac:dyDescent="0.3">
      <c r="A123" s="1"/>
      <c r="B123" s="2"/>
      <c r="C123" s="2"/>
      <c r="D123" s="3" t="s">
        <v>34</v>
      </c>
      <c r="E123" s="147"/>
      <c r="F123" s="147"/>
      <c r="G123" s="147"/>
      <c r="H123" s="147"/>
      <c r="I123" s="147"/>
      <c r="J123" s="147"/>
      <c r="K123" s="147"/>
      <c r="L123" s="147"/>
      <c r="M123" s="206"/>
      <c r="N123" s="58"/>
      <c r="O123" s="39"/>
    </row>
    <row r="124" spans="1:21" ht="20.25" x14ac:dyDescent="0.3">
      <c r="A124" s="13" t="s">
        <v>35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206"/>
      <c r="N124" s="58"/>
      <c r="O124" s="39"/>
    </row>
    <row r="125" spans="1:21" ht="51" customHeight="1" x14ac:dyDescent="0.2">
      <c r="A125" s="42" t="s">
        <v>43</v>
      </c>
      <c r="B125" s="42" t="s">
        <v>16</v>
      </c>
      <c r="C125" s="42" t="s">
        <v>17</v>
      </c>
      <c r="D125" s="43" t="s">
        <v>18</v>
      </c>
      <c r="E125" s="44"/>
      <c r="F125" s="45" t="s">
        <v>19</v>
      </c>
      <c r="G125" s="45"/>
      <c r="H125" s="217"/>
      <c r="I125" s="46"/>
      <c r="J125" s="46"/>
      <c r="K125" s="46"/>
      <c r="L125" s="46"/>
      <c r="M125" s="46"/>
      <c r="N125" s="46"/>
      <c r="O125" s="46"/>
    </row>
    <row r="126" spans="1:21" ht="20.25" x14ac:dyDescent="0.3">
      <c r="A126" s="49"/>
      <c r="B126" s="49"/>
      <c r="C126" s="49"/>
      <c r="D126" s="50" t="s">
        <v>20</v>
      </c>
      <c r="E126" s="50" t="s">
        <v>21</v>
      </c>
      <c r="F126" s="50" t="s">
        <v>20</v>
      </c>
      <c r="G126" s="50" t="s">
        <v>21</v>
      </c>
      <c r="H126" s="52"/>
      <c r="I126" s="52"/>
      <c r="J126" s="52"/>
      <c r="K126" s="52"/>
      <c r="L126" s="52"/>
      <c r="M126" s="52"/>
      <c r="N126" s="52"/>
      <c r="O126" s="52"/>
    </row>
    <row r="127" spans="1:21" ht="20.25" x14ac:dyDescent="0.3">
      <c r="A127" s="54" t="s">
        <v>46</v>
      </c>
      <c r="B127" s="110">
        <v>1</v>
      </c>
      <c r="C127" s="55" t="s">
        <v>24</v>
      </c>
      <c r="D127" s="56">
        <f t="shared" ref="D127:E130" si="11">ROUND((D131*1.2)/1,1)*1</f>
        <v>472.6</v>
      </c>
      <c r="E127" s="56">
        <f t="shared" si="11"/>
        <v>405.4</v>
      </c>
      <c r="F127" s="56">
        <f t="shared" ref="F127:G138" si="12">ROUND(D127*1.2/1,2)*1</f>
        <v>567.12</v>
      </c>
      <c r="G127" s="56">
        <f t="shared" si="12"/>
        <v>486.48</v>
      </c>
      <c r="H127" s="39"/>
      <c r="I127" s="59"/>
      <c r="J127" s="39"/>
      <c r="K127" s="58"/>
      <c r="L127" s="58"/>
      <c r="M127" s="206"/>
      <c r="N127" s="206"/>
      <c r="O127" s="59"/>
    </row>
    <row r="128" spans="1:21" ht="20.25" x14ac:dyDescent="0.3">
      <c r="A128" s="67"/>
      <c r="B128" s="80"/>
      <c r="C128" s="68" t="s">
        <v>25</v>
      </c>
      <c r="D128" s="56">
        <f t="shared" si="11"/>
        <v>429.6</v>
      </c>
      <c r="E128" s="56">
        <f t="shared" si="11"/>
        <v>368.5</v>
      </c>
      <c r="F128" s="56">
        <f t="shared" si="12"/>
        <v>515.52</v>
      </c>
      <c r="G128" s="56">
        <f t="shared" si="12"/>
        <v>442.2</v>
      </c>
      <c r="H128" s="39"/>
      <c r="I128" s="59"/>
      <c r="J128" s="39"/>
      <c r="K128" s="58"/>
      <c r="L128" s="58"/>
      <c r="M128" s="206"/>
      <c r="N128" s="206"/>
      <c r="O128" s="59"/>
    </row>
    <row r="129" spans="1:15" ht="20.25" x14ac:dyDescent="0.3">
      <c r="A129" s="67"/>
      <c r="B129" s="80"/>
      <c r="C129" s="73" t="s">
        <v>26</v>
      </c>
      <c r="D129" s="89">
        <f t="shared" si="11"/>
        <v>515.5</v>
      </c>
      <c r="E129" s="89">
        <f t="shared" si="11"/>
        <v>442.2</v>
      </c>
      <c r="F129" s="56">
        <f t="shared" si="12"/>
        <v>618.6</v>
      </c>
      <c r="G129" s="56">
        <f t="shared" si="12"/>
        <v>530.64</v>
      </c>
      <c r="H129" s="39"/>
      <c r="I129" s="59"/>
      <c r="J129" s="39"/>
      <c r="K129" s="58"/>
      <c r="L129" s="58"/>
      <c r="M129" s="206"/>
      <c r="N129" s="206"/>
      <c r="O129" s="59"/>
    </row>
    <row r="130" spans="1:15" ht="20.25" x14ac:dyDescent="0.3">
      <c r="A130" s="67"/>
      <c r="B130" s="185"/>
      <c r="C130" s="76" t="s">
        <v>27</v>
      </c>
      <c r="D130" s="56">
        <f t="shared" si="11"/>
        <v>558.5</v>
      </c>
      <c r="E130" s="56">
        <f t="shared" si="11"/>
        <v>479</v>
      </c>
      <c r="F130" s="56">
        <f t="shared" si="12"/>
        <v>670.2</v>
      </c>
      <c r="G130" s="56">
        <f t="shared" si="12"/>
        <v>574.79999999999995</v>
      </c>
      <c r="H130" s="39"/>
      <c r="I130" s="59"/>
      <c r="J130" s="39"/>
      <c r="K130" s="58"/>
      <c r="L130" s="58"/>
      <c r="M130" s="206"/>
      <c r="N130" s="206"/>
      <c r="O130" s="59"/>
    </row>
    <row r="131" spans="1:15" ht="20.25" x14ac:dyDescent="0.3">
      <c r="A131" s="94"/>
      <c r="B131" s="110">
        <v>2</v>
      </c>
      <c r="C131" s="55" t="s">
        <v>24</v>
      </c>
      <c r="D131" s="56">
        <f>ROUND((D132*1.1)/1,1)*1</f>
        <v>393.8</v>
      </c>
      <c r="E131" s="56">
        <f>ROUND((E132*1.1)/1,1)*1</f>
        <v>337.8</v>
      </c>
      <c r="F131" s="56">
        <f t="shared" si="12"/>
        <v>472.56</v>
      </c>
      <c r="G131" s="56">
        <f t="shared" si="12"/>
        <v>405.36</v>
      </c>
      <c r="H131" s="199" t="s">
        <v>45</v>
      </c>
      <c r="I131" s="59"/>
      <c r="J131" s="39"/>
      <c r="K131" s="58"/>
      <c r="L131" s="58"/>
      <c r="M131" s="206"/>
      <c r="N131" s="206"/>
      <c r="O131" s="59"/>
    </row>
    <row r="132" spans="1:15" ht="20.25" x14ac:dyDescent="0.3">
      <c r="A132" s="67" t="s">
        <v>28</v>
      </c>
      <c r="B132" s="80"/>
      <c r="C132" s="68" t="s">
        <v>25</v>
      </c>
      <c r="D132" s="218">
        <f>D56*1.4</f>
        <v>358.02199999999999</v>
      </c>
      <c r="E132" s="218">
        <f>E56*1.4</f>
        <v>307.09000000000003</v>
      </c>
      <c r="F132" s="205">
        <f t="shared" si="12"/>
        <v>429.63</v>
      </c>
      <c r="G132" s="205">
        <f t="shared" si="12"/>
        <v>368.51</v>
      </c>
      <c r="H132" s="39">
        <f>D132-D56</f>
        <v>102.29199999999997</v>
      </c>
      <c r="I132" s="39">
        <f>E132-E56</f>
        <v>87.740000000000009</v>
      </c>
      <c r="J132" s="199"/>
      <c r="K132" s="129"/>
      <c r="L132" s="129"/>
      <c r="M132" s="201"/>
      <c r="N132" s="201"/>
      <c r="O132" s="200"/>
    </row>
    <row r="133" spans="1:15" ht="20.25" x14ac:dyDescent="0.3">
      <c r="A133" s="67" t="s">
        <v>40</v>
      </c>
      <c r="B133" s="80"/>
      <c r="C133" s="73" t="s">
        <v>26</v>
      </c>
      <c r="D133" s="56">
        <f>ROUND((D132*1.2)/1,1)*1</f>
        <v>429.6</v>
      </c>
      <c r="E133" s="56">
        <f>ROUND((E132*1.2)/1,1)*1</f>
        <v>368.5</v>
      </c>
      <c r="F133" s="56">
        <f t="shared" si="12"/>
        <v>515.52</v>
      </c>
      <c r="G133" s="56">
        <f t="shared" si="12"/>
        <v>442.2</v>
      </c>
      <c r="H133" s="39"/>
      <c r="I133" s="200"/>
      <c r="J133" s="199"/>
      <c r="K133" s="129"/>
      <c r="L133" s="129"/>
      <c r="M133" s="201"/>
      <c r="N133" s="201"/>
      <c r="O133" s="200"/>
    </row>
    <row r="134" spans="1:15" ht="20.25" x14ac:dyDescent="0.3">
      <c r="A134" s="67"/>
      <c r="B134" s="80"/>
      <c r="C134" s="76" t="s">
        <v>27</v>
      </c>
      <c r="D134" s="56">
        <f>ROUND((D132*1.3)/1,1)*1</f>
        <v>465.4</v>
      </c>
      <c r="E134" s="56">
        <f>ROUND((E132*1.3)/1,1)*1</f>
        <v>399.2</v>
      </c>
      <c r="F134" s="56">
        <f t="shared" si="12"/>
        <v>558.48</v>
      </c>
      <c r="G134" s="56">
        <f t="shared" si="12"/>
        <v>479.04</v>
      </c>
      <c r="H134" s="39"/>
      <c r="I134" s="59"/>
      <c r="J134" s="39"/>
      <c r="K134" s="58"/>
      <c r="L134" s="58"/>
      <c r="M134" s="206"/>
      <c r="N134" s="206"/>
      <c r="O134" s="59"/>
    </row>
    <row r="135" spans="1:15" ht="20.25" x14ac:dyDescent="0.3">
      <c r="A135" s="119"/>
      <c r="B135" s="110">
        <v>3</v>
      </c>
      <c r="C135" s="55" t="s">
        <v>24</v>
      </c>
      <c r="D135" s="56">
        <f t="shared" ref="D135:E138" si="13">ROUND((D131*0.8)/1,1)*1</f>
        <v>315</v>
      </c>
      <c r="E135" s="56">
        <f t="shared" si="13"/>
        <v>270.2</v>
      </c>
      <c r="F135" s="56">
        <f t="shared" si="12"/>
        <v>378</v>
      </c>
      <c r="G135" s="56">
        <f t="shared" si="12"/>
        <v>324.24</v>
      </c>
      <c r="H135" s="39"/>
      <c r="I135" s="59"/>
      <c r="J135" s="39"/>
      <c r="K135" s="58"/>
      <c r="L135" s="58"/>
      <c r="M135" s="206"/>
      <c r="N135" s="206"/>
      <c r="O135" s="59"/>
    </row>
    <row r="136" spans="1:15" ht="20.25" x14ac:dyDescent="0.3">
      <c r="A136" s="119" t="s">
        <v>36</v>
      </c>
      <c r="B136" s="80"/>
      <c r="C136" s="68" t="s">
        <v>25</v>
      </c>
      <c r="D136" s="56">
        <f t="shared" si="13"/>
        <v>286.39999999999998</v>
      </c>
      <c r="E136" s="56">
        <f t="shared" si="13"/>
        <v>245.7</v>
      </c>
      <c r="F136" s="56">
        <f t="shared" si="12"/>
        <v>343.68</v>
      </c>
      <c r="G136" s="56">
        <f t="shared" si="12"/>
        <v>294.83999999999997</v>
      </c>
      <c r="H136" s="39"/>
      <c r="I136" s="59"/>
      <c r="J136" s="39"/>
      <c r="K136" s="58"/>
      <c r="L136" s="58"/>
      <c r="M136" s="206"/>
      <c r="N136" s="206"/>
      <c r="O136" s="59"/>
    </row>
    <row r="137" spans="1:15" ht="20.25" x14ac:dyDescent="0.3">
      <c r="A137" s="119"/>
      <c r="B137" s="80"/>
      <c r="C137" s="73" t="s">
        <v>26</v>
      </c>
      <c r="D137" s="56">
        <f t="shared" si="13"/>
        <v>343.7</v>
      </c>
      <c r="E137" s="56">
        <f t="shared" si="13"/>
        <v>294.8</v>
      </c>
      <c r="F137" s="56">
        <f t="shared" si="12"/>
        <v>412.44</v>
      </c>
      <c r="G137" s="56">
        <f t="shared" si="12"/>
        <v>353.76</v>
      </c>
      <c r="H137" s="39"/>
      <c r="I137" s="59"/>
      <c r="J137" s="39"/>
      <c r="K137" s="58"/>
      <c r="L137" s="58"/>
      <c r="M137" s="206"/>
      <c r="N137" s="206"/>
      <c r="O137" s="59"/>
    </row>
    <row r="138" spans="1:15" ht="20.25" x14ac:dyDescent="0.3">
      <c r="A138" s="119"/>
      <c r="B138" s="80"/>
      <c r="C138" s="76" t="s">
        <v>27</v>
      </c>
      <c r="D138" s="57">
        <f t="shared" si="13"/>
        <v>372.3</v>
      </c>
      <c r="E138" s="57">
        <f t="shared" si="13"/>
        <v>319.39999999999998</v>
      </c>
      <c r="F138" s="56">
        <f t="shared" si="12"/>
        <v>446.76</v>
      </c>
      <c r="G138" s="56">
        <f t="shared" si="12"/>
        <v>383.28</v>
      </c>
      <c r="H138" s="39"/>
      <c r="I138" s="59"/>
      <c r="J138" s="39"/>
      <c r="K138" s="58"/>
      <c r="L138" s="58"/>
      <c r="M138" s="206"/>
      <c r="N138" s="206"/>
      <c r="O138" s="59"/>
    </row>
    <row r="139" spans="1:15" ht="20.25" x14ac:dyDescent="0.3">
      <c r="A139" s="210"/>
      <c r="B139" s="80"/>
      <c r="C139" s="177"/>
      <c r="D139" s="137"/>
      <c r="E139" s="137"/>
      <c r="F139" s="56"/>
      <c r="G139" s="56"/>
      <c r="H139" s="39"/>
      <c r="I139" s="59"/>
      <c r="J139" s="39"/>
      <c r="K139" s="58"/>
      <c r="L139" s="58"/>
      <c r="M139" s="206"/>
      <c r="N139" s="206"/>
      <c r="O139" s="59"/>
    </row>
    <row r="140" spans="1:15" ht="20.25" x14ac:dyDescent="0.3">
      <c r="A140" s="214"/>
      <c r="B140" s="185"/>
      <c r="C140" s="177"/>
      <c r="D140" s="219"/>
      <c r="E140" s="219"/>
      <c r="F140" s="219"/>
      <c r="G140" s="219"/>
      <c r="H140" s="39"/>
      <c r="I140" s="59"/>
      <c r="J140" s="39"/>
      <c r="K140" s="58"/>
      <c r="L140" s="58"/>
      <c r="M140" s="206"/>
      <c r="N140" s="206"/>
      <c r="O140" s="59"/>
    </row>
    <row r="141" spans="1:15" ht="20.25" x14ac:dyDescent="0.3">
      <c r="A141" s="67" t="s">
        <v>32</v>
      </c>
      <c r="B141" s="80">
        <v>1</v>
      </c>
      <c r="C141" s="138">
        <v>100.125</v>
      </c>
      <c r="D141" s="56">
        <f>ROUND(D128*1.5/1,1)*1</f>
        <v>644.4</v>
      </c>
      <c r="E141" s="56">
        <f>ROUND(E128*1.5/1,1)*1</f>
        <v>552.79999999999995</v>
      </c>
      <c r="F141" s="56">
        <f t="shared" ref="F141:G146" si="14">ROUND(D141*1.2/1,2)*1</f>
        <v>773.28</v>
      </c>
      <c r="G141" s="56">
        <f t="shared" si="14"/>
        <v>663.36</v>
      </c>
      <c r="H141" s="39"/>
      <c r="I141" s="59"/>
      <c r="J141" s="39"/>
      <c r="K141" s="58"/>
      <c r="L141" s="58"/>
      <c r="M141" s="206"/>
      <c r="N141" s="206"/>
      <c r="O141" s="59"/>
    </row>
    <row r="142" spans="1:15" ht="20.25" x14ac:dyDescent="0.3">
      <c r="A142" s="145"/>
      <c r="B142" s="148"/>
      <c r="C142" s="149" t="s">
        <v>33</v>
      </c>
      <c r="D142" s="57">
        <f>ROUND(D128*1.7/1,1)*1</f>
        <v>730.3</v>
      </c>
      <c r="E142" s="57">
        <f>ROUND(E128*1.7/1,1)*1</f>
        <v>626.5</v>
      </c>
      <c r="F142" s="56">
        <f t="shared" si="14"/>
        <v>876.36</v>
      </c>
      <c r="G142" s="56">
        <f t="shared" si="14"/>
        <v>751.8</v>
      </c>
      <c r="H142" s="39"/>
      <c r="I142" s="59"/>
      <c r="J142" s="39"/>
      <c r="K142" s="58"/>
      <c r="L142" s="58"/>
      <c r="M142" s="206"/>
      <c r="N142" s="206"/>
      <c r="O142" s="59"/>
    </row>
    <row r="143" spans="1:15" ht="20.25" x14ac:dyDescent="0.3">
      <c r="A143" s="145"/>
      <c r="B143" s="110">
        <v>2</v>
      </c>
      <c r="C143" s="146">
        <v>100.125</v>
      </c>
      <c r="D143" s="57">
        <f>ROUND(D132*1.5/1,1)*1</f>
        <v>537</v>
      </c>
      <c r="E143" s="57">
        <f>ROUND(E132*1.5/1,1)*1</f>
        <v>460.6</v>
      </c>
      <c r="F143" s="56">
        <f t="shared" si="14"/>
        <v>644.4</v>
      </c>
      <c r="G143" s="56">
        <f t="shared" si="14"/>
        <v>552.72</v>
      </c>
      <c r="H143" s="39"/>
      <c r="I143" s="59"/>
      <c r="J143" s="39"/>
      <c r="K143" s="58"/>
      <c r="L143" s="58"/>
      <c r="M143" s="206"/>
      <c r="N143" s="206"/>
      <c r="O143" s="59"/>
    </row>
    <row r="144" spans="1:15" ht="20.25" x14ac:dyDescent="0.3">
      <c r="A144" s="145"/>
      <c r="B144" s="148"/>
      <c r="C144" s="149" t="s">
        <v>33</v>
      </c>
      <c r="D144" s="57">
        <f>ROUND(D132*1.7/1,1)*1</f>
        <v>608.6</v>
      </c>
      <c r="E144" s="57">
        <f>ROUND(E132*1.7/1,1)*1</f>
        <v>522.1</v>
      </c>
      <c r="F144" s="56">
        <f t="shared" si="14"/>
        <v>730.32</v>
      </c>
      <c r="G144" s="56">
        <f t="shared" si="14"/>
        <v>626.52</v>
      </c>
      <c r="H144" s="39"/>
      <c r="I144" s="59"/>
      <c r="J144" s="39"/>
      <c r="K144" s="58"/>
      <c r="L144" s="58"/>
      <c r="M144" s="206"/>
      <c r="N144" s="206"/>
      <c r="O144" s="59"/>
    </row>
    <row r="145" spans="1:20" ht="20.25" x14ac:dyDescent="0.3">
      <c r="A145" s="145"/>
      <c r="B145" s="110">
        <v>3</v>
      </c>
      <c r="C145" s="146">
        <v>100.125</v>
      </c>
      <c r="D145" s="57">
        <f>ROUND(D136*1.5/1,1)*1</f>
        <v>429.6</v>
      </c>
      <c r="E145" s="57">
        <f>ROUND(E136*1.5/1,1)*1</f>
        <v>368.6</v>
      </c>
      <c r="F145" s="56">
        <f t="shared" si="14"/>
        <v>515.52</v>
      </c>
      <c r="G145" s="56">
        <f t="shared" si="14"/>
        <v>442.32</v>
      </c>
      <c r="H145" s="39"/>
      <c r="I145" s="59"/>
      <c r="J145" s="39"/>
      <c r="K145" s="58"/>
      <c r="L145" s="58"/>
      <c r="M145" s="206"/>
      <c r="N145" s="206"/>
      <c r="O145" s="59"/>
    </row>
    <row r="146" spans="1:20" ht="20.25" x14ac:dyDescent="0.3">
      <c r="A146" s="142"/>
      <c r="B146" s="148"/>
      <c r="C146" s="149" t="s">
        <v>33</v>
      </c>
      <c r="D146" s="57">
        <f>ROUND(D136*1.7/1,1)*1</f>
        <v>486.9</v>
      </c>
      <c r="E146" s="57">
        <f>ROUND(E136*1.7/1,1)*1</f>
        <v>417.7</v>
      </c>
      <c r="F146" s="56">
        <f t="shared" si="14"/>
        <v>584.28</v>
      </c>
      <c r="G146" s="56">
        <f t="shared" si="14"/>
        <v>501.24</v>
      </c>
      <c r="H146" s="39"/>
      <c r="I146" s="59"/>
      <c r="J146" s="39"/>
      <c r="K146" s="58"/>
      <c r="L146" s="58"/>
      <c r="M146" s="206"/>
      <c r="N146" s="206"/>
      <c r="O146" s="59"/>
    </row>
    <row r="147" spans="1:20" ht="23.25" x14ac:dyDescent="0.35">
      <c r="A147" s="220" t="s">
        <v>47</v>
      </c>
      <c r="B147" s="221"/>
      <c r="C147" s="221"/>
      <c r="D147" s="221"/>
      <c r="E147" s="221"/>
      <c r="F147" s="221"/>
      <c r="G147" s="222"/>
      <c r="H147" s="223"/>
      <c r="I147" s="223"/>
      <c r="J147" s="223"/>
      <c r="K147" s="223"/>
      <c r="L147" s="223"/>
      <c r="M147" s="223"/>
      <c r="N147" s="223"/>
      <c r="O147" s="223"/>
    </row>
    <row r="148" spans="1:20" ht="20.25" x14ac:dyDescent="0.3">
      <c r="A148" s="130"/>
      <c r="B148" s="39"/>
      <c r="C148" s="39"/>
      <c r="D148" s="39"/>
      <c r="E148" s="39"/>
      <c r="F148" s="39"/>
      <c r="G148" s="194"/>
      <c r="H148" s="199"/>
      <c r="I148" s="199"/>
      <c r="J148" s="199"/>
      <c r="K148" s="129"/>
      <c r="L148" s="129"/>
      <c r="M148" s="224"/>
      <c r="N148" s="129"/>
      <c r="O148" s="199"/>
    </row>
    <row r="149" spans="1:20" ht="20.25" x14ac:dyDescent="0.3">
      <c r="A149" s="225" t="s">
        <v>42</v>
      </c>
      <c r="B149" s="226"/>
      <c r="C149" s="226"/>
      <c r="D149" s="226"/>
      <c r="E149" s="226"/>
      <c r="F149" s="226"/>
      <c r="G149" s="227"/>
      <c r="H149" s="228"/>
      <c r="I149" s="228"/>
      <c r="J149" s="225"/>
      <c r="K149" s="226"/>
      <c r="L149" s="226"/>
      <c r="M149" s="226"/>
      <c r="N149" s="226"/>
      <c r="O149" s="226"/>
      <c r="P149" s="227"/>
    </row>
    <row r="150" spans="1:20" ht="51.75" customHeight="1" x14ac:dyDescent="0.3">
      <c r="A150" s="229" t="s">
        <v>43</v>
      </c>
      <c r="B150" s="42" t="s">
        <v>16</v>
      </c>
      <c r="C150" s="42" t="s">
        <v>17</v>
      </c>
      <c r="D150" s="230" t="s">
        <v>48</v>
      </c>
      <c r="E150" s="231"/>
      <c r="F150" s="230" t="s">
        <v>49</v>
      </c>
      <c r="G150" s="232"/>
      <c r="H150" s="199"/>
      <c r="I150" s="233"/>
      <c r="J150" s="229"/>
      <c r="K150" s="42"/>
      <c r="L150" s="42"/>
      <c r="M150" s="230"/>
      <c r="N150" s="231"/>
      <c r="O150" s="230"/>
      <c r="P150" s="232"/>
    </row>
    <row r="151" spans="1:20" ht="35.25" customHeight="1" x14ac:dyDescent="0.2">
      <c r="A151" s="229"/>
      <c r="B151" s="49"/>
      <c r="C151" s="49"/>
      <c r="D151" s="234" t="s">
        <v>50</v>
      </c>
      <c r="E151" s="235"/>
      <c r="F151" s="234" t="s">
        <v>51</v>
      </c>
      <c r="G151" s="236"/>
      <c r="H151" s="199"/>
      <c r="I151" s="237"/>
      <c r="J151" s="229"/>
      <c r="K151" s="49"/>
      <c r="L151" s="49"/>
      <c r="M151" s="238"/>
      <c r="N151" s="239"/>
      <c r="O151" s="240"/>
      <c r="P151" s="241"/>
    </row>
    <row r="152" spans="1:20" ht="20.25" x14ac:dyDescent="0.3">
      <c r="A152" s="229"/>
      <c r="B152" s="49"/>
      <c r="C152" s="49"/>
      <c r="D152" s="242" t="s">
        <v>52</v>
      </c>
      <c r="E152" s="243" t="s">
        <v>53</v>
      </c>
      <c r="F152" s="242" t="s">
        <v>52</v>
      </c>
      <c r="G152" s="50" t="s">
        <v>53</v>
      </c>
      <c r="H152" s="199"/>
      <c r="I152" s="244"/>
      <c r="J152" s="229"/>
      <c r="K152" s="49"/>
      <c r="L152" s="49"/>
      <c r="M152" s="242"/>
      <c r="N152" s="243"/>
      <c r="O152" s="242"/>
      <c r="P152" s="50"/>
    </row>
    <row r="153" spans="1:20" ht="20.25" x14ac:dyDescent="0.3">
      <c r="A153" s="67" t="s">
        <v>46</v>
      </c>
      <c r="B153" s="110">
        <v>1</v>
      </c>
      <c r="C153" s="55" t="s">
        <v>24</v>
      </c>
      <c r="D153" s="56">
        <f>ROUND((D157*1.2)/1,1)*1</f>
        <v>706.6</v>
      </c>
      <c r="E153" s="56">
        <f t="shared" ref="E153:E170" si="15">D153*1.2</f>
        <v>847.92</v>
      </c>
      <c r="F153" s="56">
        <f>ROUND((F157*1.2)/1,1)*1</f>
        <v>565.20000000000005</v>
      </c>
      <c r="G153" s="57">
        <f t="shared" ref="G153:G170" si="16">F153*1.2</f>
        <v>678.24</v>
      </c>
      <c r="H153" s="199"/>
      <c r="I153" s="200"/>
      <c r="J153" s="67"/>
      <c r="K153" s="110"/>
      <c r="L153" s="55"/>
      <c r="M153" s="56"/>
      <c r="N153" s="56"/>
      <c r="O153" s="56"/>
      <c r="P153" s="57"/>
    </row>
    <row r="154" spans="1:20" ht="20.25" x14ac:dyDescent="0.3">
      <c r="A154" s="67"/>
      <c r="B154" s="80"/>
      <c r="C154" s="68" t="s">
        <v>25</v>
      </c>
      <c r="D154" s="56">
        <f>ROUND((D158*1.2)/1,1)*1</f>
        <v>642.29999999999995</v>
      </c>
      <c r="E154" s="56">
        <f t="shared" si="15"/>
        <v>770.75999999999988</v>
      </c>
      <c r="F154" s="56">
        <f>ROUND((F158*1.2)/1,1)*1</f>
        <v>513.79999999999995</v>
      </c>
      <c r="G154" s="57">
        <f t="shared" si="16"/>
        <v>616.55999999999995</v>
      </c>
      <c r="H154" s="199"/>
      <c r="I154" s="200"/>
      <c r="J154" s="67"/>
      <c r="K154" s="80"/>
      <c r="L154" s="68"/>
      <c r="M154" s="56"/>
      <c r="N154" s="56"/>
      <c r="O154" s="56"/>
      <c r="P154" s="57"/>
    </row>
    <row r="155" spans="1:20" ht="20.25" x14ac:dyDescent="0.3">
      <c r="A155" s="67"/>
      <c r="B155" s="80"/>
      <c r="C155" s="73" t="s">
        <v>26</v>
      </c>
      <c r="D155" s="89">
        <f>ROUND((D159*1.2)/1,1)*1</f>
        <v>770.8</v>
      </c>
      <c r="E155" s="56">
        <f t="shared" si="15"/>
        <v>924.95999999999992</v>
      </c>
      <c r="F155" s="89">
        <f>ROUND((F159*1.2)/1,1)*1</f>
        <v>616.6</v>
      </c>
      <c r="G155" s="57">
        <f t="shared" si="16"/>
        <v>739.92</v>
      </c>
      <c r="H155" s="199"/>
      <c r="I155" s="200"/>
      <c r="J155" s="67"/>
      <c r="K155" s="80"/>
      <c r="L155" s="73"/>
      <c r="M155" s="89"/>
      <c r="N155" s="56"/>
      <c r="O155" s="89"/>
      <c r="P155" s="57"/>
    </row>
    <row r="156" spans="1:20" ht="20.25" x14ac:dyDescent="0.3">
      <c r="A156" s="67"/>
      <c r="B156" s="185"/>
      <c r="C156" s="76" t="s">
        <v>27</v>
      </c>
      <c r="D156" s="56">
        <f>ROUND((D160*1.2)/1,1)*1</f>
        <v>835</v>
      </c>
      <c r="E156" s="56">
        <f t="shared" si="15"/>
        <v>1002</v>
      </c>
      <c r="F156" s="56">
        <f>ROUND((F160*1.2)/1,1)*1</f>
        <v>668</v>
      </c>
      <c r="G156" s="57">
        <f t="shared" si="16"/>
        <v>801.6</v>
      </c>
      <c r="H156" s="199"/>
      <c r="I156" s="200"/>
      <c r="J156" s="67"/>
      <c r="K156" s="185"/>
      <c r="L156" s="76"/>
      <c r="M156" s="56"/>
      <c r="N156" s="56"/>
      <c r="O156" s="56"/>
      <c r="P156" s="57"/>
    </row>
    <row r="157" spans="1:20" ht="20.25" x14ac:dyDescent="0.3">
      <c r="A157" s="67" t="s">
        <v>28</v>
      </c>
      <c r="B157" s="110">
        <v>2</v>
      </c>
      <c r="C157" s="55" t="s">
        <v>24</v>
      </c>
      <c r="D157" s="56">
        <f>ROUND((D158*1.1)/1,1)*1</f>
        <v>588.79999999999995</v>
      </c>
      <c r="E157" s="56">
        <f t="shared" si="15"/>
        <v>706.56</v>
      </c>
      <c r="F157" s="56">
        <f>ROUND((F158*1.1)/1,1)*1</f>
        <v>471</v>
      </c>
      <c r="G157" s="57">
        <f t="shared" si="16"/>
        <v>565.19999999999993</v>
      </c>
      <c r="H157" s="199" t="s">
        <v>54</v>
      </c>
      <c r="I157" s="200"/>
      <c r="J157" s="67"/>
      <c r="K157" s="110"/>
      <c r="L157" s="55"/>
      <c r="M157" s="56"/>
      <c r="N157" s="56"/>
      <c r="O157" s="56"/>
      <c r="P157" s="57"/>
    </row>
    <row r="158" spans="1:20" ht="20.25" x14ac:dyDescent="0.3">
      <c r="A158" s="84"/>
      <c r="B158" s="80"/>
      <c r="C158" s="68" t="s">
        <v>25</v>
      </c>
      <c r="D158" s="205">
        <f>D108*1.3</f>
        <v>535.25680000000011</v>
      </c>
      <c r="E158" s="205">
        <f t="shared" si="15"/>
        <v>642.30816000000016</v>
      </c>
      <c r="F158" s="245">
        <f>D158*0.8</f>
        <v>428.20544000000012</v>
      </c>
      <c r="G158" s="245">
        <f>F158*1.2</f>
        <v>513.84652800000015</v>
      </c>
      <c r="H158" s="199">
        <f>D158-D108</f>
        <v>123.52080000000007</v>
      </c>
      <c r="I158" s="199">
        <f>F158-E108</f>
        <v>121.11544000000009</v>
      </c>
      <c r="J158" s="84"/>
      <c r="K158" s="80"/>
      <c r="L158" s="68"/>
      <c r="M158" s="205"/>
      <c r="N158" s="205"/>
      <c r="O158" s="245"/>
      <c r="P158" s="245"/>
      <c r="Q158" s="4">
        <v>6.95</v>
      </c>
      <c r="S158" s="4">
        <f>(0.2*E156)+(E160*0.6)+(E164*0.2)</f>
        <v>834.96</v>
      </c>
      <c r="T158" s="4">
        <f>Q158*S158</f>
        <v>5802.9720000000007</v>
      </c>
    </row>
    <row r="159" spans="1:20" ht="20.25" x14ac:dyDescent="0.3">
      <c r="A159" s="67"/>
      <c r="B159" s="80"/>
      <c r="C159" s="73" t="s">
        <v>26</v>
      </c>
      <c r="D159" s="56">
        <f>ROUND((D158*1.2)/1,1)*1</f>
        <v>642.29999999999995</v>
      </c>
      <c r="E159" s="56">
        <f t="shared" si="15"/>
        <v>770.75999999999988</v>
      </c>
      <c r="F159" s="56">
        <f>ROUND((F158*1.2)/1,1)*1</f>
        <v>513.79999999999995</v>
      </c>
      <c r="G159" s="57">
        <f t="shared" si="16"/>
        <v>616.55999999999995</v>
      </c>
      <c r="H159" s="199"/>
      <c r="I159" s="200"/>
      <c r="J159" s="67"/>
      <c r="K159" s="80"/>
      <c r="L159" s="73"/>
      <c r="M159" s="56"/>
      <c r="N159" s="56"/>
      <c r="O159" s="56"/>
      <c r="P159" s="57"/>
      <c r="Q159" s="202"/>
      <c r="S159" s="202"/>
      <c r="T159" s="4">
        <f>Q159*S159</f>
        <v>0</v>
      </c>
    </row>
    <row r="160" spans="1:20" ht="20.25" x14ac:dyDescent="0.3">
      <c r="A160" s="67"/>
      <c r="B160" s="185"/>
      <c r="C160" s="76" t="s">
        <v>27</v>
      </c>
      <c r="D160" s="56">
        <f>ROUND((D158*1.3)/1,1)*1</f>
        <v>695.8</v>
      </c>
      <c r="E160" s="56">
        <f t="shared" si="15"/>
        <v>834.95999999999992</v>
      </c>
      <c r="F160" s="56">
        <f>ROUND((F158*1.3)/1,1)*1</f>
        <v>556.70000000000005</v>
      </c>
      <c r="G160" s="57">
        <f t="shared" si="16"/>
        <v>668.04000000000008</v>
      </c>
      <c r="H160" s="199"/>
      <c r="I160" s="200"/>
      <c r="J160" s="67"/>
      <c r="K160" s="185"/>
      <c r="L160" s="76"/>
      <c r="M160" s="56"/>
      <c r="N160" s="56"/>
      <c r="O160" s="56"/>
      <c r="P160" s="57"/>
      <c r="T160" s="4">
        <f>Q160*S160</f>
        <v>0</v>
      </c>
    </row>
    <row r="161" spans="1:20" ht="20.25" x14ac:dyDescent="0.3">
      <c r="A161" s="94"/>
      <c r="B161" s="110">
        <v>3</v>
      </c>
      <c r="C161" s="55" t="s">
        <v>24</v>
      </c>
      <c r="D161" s="56">
        <f>ROUND((D157*0.8)/1,1)*1</f>
        <v>471</v>
      </c>
      <c r="E161" s="56">
        <f t="shared" si="15"/>
        <v>565.19999999999993</v>
      </c>
      <c r="F161" s="56">
        <f>ROUND((F157*0.8)/1,1)*1</f>
        <v>376.8</v>
      </c>
      <c r="G161" s="57">
        <f t="shared" si="16"/>
        <v>452.16</v>
      </c>
      <c r="H161" s="199"/>
      <c r="I161" s="200"/>
      <c r="J161" s="94"/>
      <c r="K161" s="110"/>
      <c r="L161" s="55"/>
      <c r="M161" s="56"/>
      <c r="N161" s="56"/>
      <c r="O161" s="56"/>
      <c r="P161" s="57"/>
      <c r="Q161" s="170">
        <v>1.1399999999999999</v>
      </c>
      <c r="S161" s="170">
        <f>E157</f>
        <v>706.56</v>
      </c>
      <c r="T161" s="4">
        <f>Q161*S161</f>
        <v>805.47839999999985</v>
      </c>
    </row>
    <row r="162" spans="1:20" ht="20.25" x14ac:dyDescent="0.3">
      <c r="A162" s="94"/>
      <c r="B162" s="80"/>
      <c r="C162" s="68" t="s">
        <v>25</v>
      </c>
      <c r="D162" s="56">
        <f>ROUND((D158*0.8)/1,1)*1</f>
        <v>428.2</v>
      </c>
      <c r="E162" s="56">
        <f t="shared" si="15"/>
        <v>513.83999999999992</v>
      </c>
      <c r="F162" s="56">
        <f>ROUND((F158*0.8)/1,1)*1</f>
        <v>342.6</v>
      </c>
      <c r="G162" s="57">
        <f t="shared" si="16"/>
        <v>411.12</v>
      </c>
      <c r="H162" s="199"/>
      <c r="I162" s="200"/>
      <c r="J162" s="94"/>
      <c r="K162" s="80"/>
      <c r="L162" s="68"/>
      <c r="M162" s="56"/>
      <c r="N162" s="56"/>
      <c r="O162" s="56"/>
      <c r="P162" s="57"/>
      <c r="Q162" s="246"/>
      <c r="S162" s="246"/>
      <c r="T162" s="247">
        <f>(T158+T161)/(Q158+Q161)</f>
        <v>816.8665512978987</v>
      </c>
    </row>
    <row r="163" spans="1:20" ht="20.25" x14ac:dyDescent="0.3">
      <c r="A163" s="67"/>
      <c r="B163" s="80"/>
      <c r="C163" s="73" t="s">
        <v>26</v>
      </c>
      <c r="D163" s="56">
        <f>ROUND((D159*0.8)/1,1)*1</f>
        <v>513.79999999999995</v>
      </c>
      <c r="E163" s="56">
        <f t="shared" si="15"/>
        <v>616.55999999999995</v>
      </c>
      <c r="F163" s="56">
        <f>ROUND((F159*0.8)/1,1)*1</f>
        <v>411</v>
      </c>
      <c r="G163" s="57">
        <f t="shared" si="16"/>
        <v>493.2</v>
      </c>
      <c r="H163" s="199"/>
      <c r="I163" s="200"/>
      <c r="J163" s="67"/>
      <c r="K163" s="80"/>
      <c r="L163" s="73"/>
      <c r="M163" s="56"/>
      <c r="N163" s="56"/>
      <c r="O163" s="56"/>
      <c r="P163" s="57"/>
      <c r="Q163" s="248"/>
      <c r="R163" s="248"/>
      <c r="S163" s="248"/>
    </row>
    <row r="164" spans="1:20" ht="20.25" x14ac:dyDescent="0.3">
      <c r="A164" s="67"/>
      <c r="B164" s="185"/>
      <c r="C164" s="76" t="s">
        <v>27</v>
      </c>
      <c r="D164" s="57">
        <f>ROUND((D160*0.8)/1,1)*1</f>
        <v>556.6</v>
      </c>
      <c r="E164" s="56">
        <f t="shared" si="15"/>
        <v>667.92</v>
      </c>
      <c r="F164" s="57">
        <f>ROUND((F160*0.8)/1,1)*1</f>
        <v>445.4</v>
      </c>
      <c r="G164" s="57">
        <f t="shared" si="16"/>
        <v>534.4799999999999</v>
      </c>
      <c r="H164" s="199"/>
      <c r="I164" s="200"/>
      <c r="J164" s="67"/>
      <c r="K164" s="185"/>
      <c r="L164" s="76"/>
      <c r="M164" s="57"/>
      <c r="N164" s="56"/>
      <c r="O164" s="57"/>
      <c r="P164" s="57"/>
      <c r="Q164" s="249"/>
      <c r="S164" s="249"/>
    </row>
    <row r="165" spans="1:20" ht="20.25" x14ac:dyDescent="0.3">
      <c r="A165" s="67" t="s">
        <v>32</v>
      </c>
      <c r="B165" s="80">
        <v>1</v>
      </c>
      <c r="C165" s="138">
        <v>100.125</v>
      </c>
      <c r="D165" s="56">
        <f>ROUND(D154*1.5/1,1)*1</f>
        <v>963.5</v>
      </c>
      <c r="E165" s="56">
        <f t="shared" si="15"/>
        <v>1156.2</v>
      </c>
      <c r="F165" s="56">
        <f>ROUND(F154*1.5/1,1)*1</f>
        <v>770.7</v>
      </c>
      <c r="G165" s="57">
        <f t="shared" si="16"/>
        <v>924.84</v>
      </c>
      <c r="H165" s="199"/>
      <c r="I165" s="200"/>
      <c r="J165" s="67"/>
      <c r="K165" s="80"/>
      <c r="L165" s="138"/>
      <c r="M165" s="56"/>
      <c r="N165" s="56"/>
      <c r="O165" s="56"/>
      <c r="P165" s="57"/>
    </row>
    <row r="166" spans="1:20" ht="30" customHeight="1" x14ac:dyDescent="0.3">
      <c r="A166" s="145"/>
      <c r="B166" s="148"/>
      <c r="C166" s="149" t="s">
        <v>33</v>
      </c>
      <c r="D166" s="57">
        <f>ROUND(D154*1.7/1,1)*1</f>
        <v>1091.9000000000001</v>
      </c>
      <c r="E166" s="56">
        <f t="shared" si="15"/>
        <v>1310.28</v>
      </c>
      <c r="F166" s="57">
        <f>ROUND(F154*1.7/1,1)*1</f>
        <v>873.5</v>
      </c>
      <c r="G166" s="57">
        <f t="shared" si="16"/>
        <v>1048.2</v>
      </c>
      <c r="H166" s="199"/>
      <c r="I166" s="200"/>
      <c r="J166" s="145"/>
      <c r="K166" s="148"/>
      <c r="L166" s="149"/>
      <c r="M166" s="57"/>
      <c r="N166" s="56"/>
      <c r="O166" s="57"/>
      <c r="P166" s="57"/>
    </row>
    <row r="167" spans="1:20" ht="49.5" customHeight="1" x14ac:dyDescent="0.3">
      <c r="A167" s="145"/>
      <c r="B167" s="110">
        <v>2</v>
      </c>
      <c r="C167" s="146">
        <v>100.125</v>
      </c>
      <c r="D167" s="57">
        <f>ROUND(D158*1.5/1,1)*1</f>
        <v>802.9</v>
      </c>
      <c r="E167" s="56">
        <f t="shared" si="15"/>
        <v>963.4799999999999</v>
      </c>
      <c r="F167" s="57">
        <f>ROUND(F158*1.5/1,1)*1</f>
        <v>642.29999999999995</v>
      </c>
      <c r="G167" s="57">
        <f t="shared" si="16"/>
        <v>770.75999999999988</v>
      </c>
      <c r="H167" s="199"/>
      <c r="I167" s="200"/>
      <c r="J167" s="145"/>
      <c r="K167" s="110"/>
      <c r="L167" s="146"/>
      <c r="M167" s="57"/>
      <c r="N167" s="56"/>
      <c r="O167" s="57"/>
      <c r="P167" s="57"/>
    </row>
    <row r="168" spans="1:20" ht="27.75" customHeight="1" x14ac:dyDescent="0.3">
      <c r="A168" s="145"/>
      <c r="B168" s="148"/>
      <c r="C168" s="149" t="s">
        <v>33</v>
      </c>
      <c r="D168" s="57">
        <f>ROUND(D158*1.7/1,1)*1</f>
        <v>909.9</v>
      </c>
      <c r="E168" s="56">
        <f t="shared" si="15"/>
        <v>1091.8799999999999</v>
      </c>
      <c r="F168" s="57">
        <f>ROUND(F158*1.7/1,1)*1</f>
        <v>727.9</v>
      </c>
      <c r="G168" s="57">
        <f t="shared" si="16"/>
        <v>873.4799999999999</v>
      </c>
      <c r="H168" s="199"/>
      <c r="I168" s="200"/>
      <c r="J168" s="145"/>
      <c r="K168" s="148"/>
      <c r="L168" s="149"/>
      <c r="M168" s="57"/>
      <c r="N168" s="56"/>
      <c r="O168" s="57"/>
      <c r="P168" s="57"/>
    </row>
    <row r="169" spans="1:20" ht="20.25" x14ac:dyDescent="0.3">
      <c r="A169" s="145"/>
      <c r="B169" s="110">
        <v>3</v>
      </c>
      <c r="C169" s="146">
        <v>100.125</v>
      </c>
      <c r="D169" s="57">
        <f>ROUND(D162*1.5/1,1)*1</f>
        <v>642.29999999999995</v>
      </c>
      <c r="E169" s="56">
        <f t="shared" si="15"/>
        <v>770.75999999999988</v>
      </c>
      <c r="F169" s="57">
        <f>ROUND(F162*1.5/1,1)*1</f>
        <v>513.9</v>
      </c>
      <c r="G169" s="57">
        <f t="shared" si="16"/>
        <v>616.67999999999995</v>
      </c>
      <c r="H169" s="199"/>
      <c r="I169" s="200"/>
      <c r="J169" s="145"/>
      <c r="K169" s="110"/>
      <c r="L169" s="146"/>
      <c r="M169" s="57"/>
      <c r="N169" s="56"/>
      <c r="O169" s="57"/>
      <c r="P169" s="57"/>
    </row>
    <row r="170" spans="1:20" ht="20.25" x14ac:dyDescent="0.3">
      <c r="A170" s="142"/>
      <c r="B170" s="148"/>
      <c r="C170" s="149" t="s">
        <v>33</v>
      </c>
      <c r="D170" s="57">
        <f>ROUND(D162*1.7/1,1)*1</f>
        <v>727.9</v>
      </c>
      <c r="E170" s="56">
        <f t="shared" si="15"/>
        <v>873.4799999999999</v>
      </c>
      <c r="F170" s="57">
        <f>ROUND(F162*1.7/1,1)*1</f>
        <v>582.4</v>
      </c>
      <c r="G170" s="57">
        <f t="shared" si="16"/>
        <v>698.88</v>
      </c>
      <c r="H170" s="199"/>
      <c r="I170" s="200"/>
      <c r="J170" s="142"/>
      <c r="K170" s="148"/>
      <c r="L170" s="149"/>
      <c r="M170" s="57"/>
      <c r="N170" s="56"/>
      <c r="O170" s="57"/>
      <c r="P170" s="57"/>
    </row>
    <row r="171" spans="1:20" ht="20.25" x14ac:dyDescent="0.3">
      <c r="A171" s="225" t="s">
        <v>34</v>
      </c>
      <c r="B171" s="226"/>
      <c r="C171" s="226"/>
      <c r="D171" s="226"/>
      <c r="E171" s="226"/>
      <c r="F171" s="226"/>
      <c r="G171" s="226"/>
      <c r="H171" s="250"/>
      <c r="I171" s="250"/>
      <c r="J171" s="250"/>
      <c r="K171" s="250"/>
      <c r="L171" s="250"/>
      <c r="M171" s="250"/>
      <c r="N171" s="250"/>
      <c r="O171" s="251"/>
    </row>
    <row r="172" spans="1:20" ht="46.5" customHeight="1" x14ac:dyDescent="0.3">
      <c r="A172" s="42" t="s">
        <v>43</v>
      </c>
      <c r="B172" s="42" t="s">
        <v>16</v>
      </c>
      <c r="C172" s="42" t="s">
        <v>17</v>
      </c>
      <c r="D172" s="230" t="s">
        <v>48</v>
      </c>
      <c r="E172" s="231"/>
      <c r="F172" s="230" t="s">
        <v>49</v>
      </c>
      <c r="G172" s="232"/>
      <c r="H172" s="252"/>
      <c r="I172" s="252"/>
      <c r="J172" s="252"/>
      <c r="K172" s="252"/>
      <c r="L172" s="252"/>
      <c r="M172" s="252"/>
      <c r="N172" s="252"/>
      <c r="O172" s="252"/>
    </row>
    <row r="173" spans="1:20" ht="27" customHeight="1" x14ac:dyDescent="0.2">
      <c r="A173" s="49"/>
      <c r="B173" s="49"/>
      <c r="C173" s="49"/>
      <c r="D173" s="234" t="s">
        <v>50</v>
      </c>
      <c r="E173" s="235"/>
      <c r="F173" s="234" t="s">
        <v>51</v>
      </c>
      <c r="G173" s="236"/>
      <c r="H173" s="196"/>
      <c r="I173" s="196"/>
      <c r="J173" s="196"/>
      <c r="K173" s="196"/>
      <c r="L173" s="196"/>
      <c r="M173" s="196"/>
      <c r="N173" s="196"/>
      <c r="O173" s="196"/>
    </row>
    <row r="174" spans="1:20" ht="27" customHeight="1" x14ac:dyDescent="0.3">
      <c r="A174" s="49"/>
      <c r="B174" s="49"/>
      <c r="C174" s="49"/>
      <c r="D174" s="242" t="s">
        <v>52</v>
      </c>
      <c r="E174" s="243" t="s">
        <v>53</v>
      </c>
      <c r="F174" s="242" t="s">
        <v>52</v>
      </c>
      <c r="G174" s="50" t="s">
        <v>53</v>
      </c>
      <c r="H174" s="197"/>
      <c r="I174" s="197"/>
      <c r="J174" s="197"/>
      <c r="K174" s="197"/>
      <c r="L174" s="197"/>
      <c r="M174" s="197"/>
      <c r="N174" s="197"/>
      <c r="O174" s="197"/>
    </row>
    <row r="175" spans="1:20" ht="20.25" x14ac:dyDescent="0.3">
      <c r="A175" s="54" t="s">
        <v>46</v>
      </c>
      <c r="B175" s="110">
        <v>1</v>
      </c>
      <c r="C175" s="55" t="s">
        <v>24</v>
      </c>
      <c r="D175" s="56">
        <f>ROUND((D179*1.2)/1,1)*1</f>
        <v>708.8</v>
      </c>
      <c r="E175" s="56">
        <f t="shared" ref="E175:E192" si="17">D175*1.2</f>
        <v>850.56</v>
      </c>
      <c r="F175" s="56">
        <f>ROUND((F179*1.2)/1,1)*1</f>
        <v>567.1</v>
      </c>
      <c r="G175" s="57">
        <f t="shared" ref="G175:G192" si="18">F175*1.2</f>
        <v>680.52</v>
      </c>
      <c r="H175" s="199"/>
      <c r="I175" s="200"/>
      <c r="J175" s="199"/>
      <c r="K175" s="129"/>
      <c r="L175" s="129"/>
      <c r="M175" s="224"/>
      <c r="N175" s="129"/>
      <c r="O175" s="200"/>
    </row>
    <row r="176" spans="1:20" ht="20.25" x14ac:dyDescent="0.3">
      <c r="A176" s="67"/>
      <c r="B176" s="80"/>
      <c r="C176" s="68" t="s">
        <v>25</v>
      </c>
      <c r="D176" s="56">
        <f>ROUND((D180*1.2)/1,1)*1</f>
        <v>644.4</v>
      </c>
      <c r="E176" s="56">
        <f t="shared" si="17"/>
        <v>773.28</v>
      </c>
      <c r="F176" s="56">
        <f>ROUND((F180*1.2)/1,1)*1</f>
        <v>515.6</v>
      </c>
      <c r="G176" s="57">
        <f t="shared" si="18"/>
        <v>618.72</v>
      </c>
      <c r="H176" s="199"/>
      <c r="I176" s="200"/>
      <c r="J176" s="199"/>
      <c r="K176" s="129"/>
      <c r="L176" s="129"/>
      <c r="M176" s="224"/>
      <c r="N176" s="129"/>
      <c r="O176" s="200"/>
    </row>
    <row r="177" spans="1:20" ht="20.25" x14ac:dyDescent="0.3">
      <c r="A177" s="67"/>
      <c r="B177" s="80"/>
      <c r="C177" s="73" t="s">
        <v>26</v>
      </c>
      <c r="D177" s="89">
        <f>ROUND((D181*1.2)/1,1)*1</f>
        <v>773.3</v>
      </c>
      <c r="E177" s="56">
        <f t="shared" si="17"/>
        <v>927.95999999999992</v>
      </c>
      <c r="F177" s="89">
        <f>ROUND((F181*1.2)/1,1)*1</f>
        <v>618.70000000000005</v>
      </c>
      <c r="G177" s="57">
        <f t="shared" si="18"/>
        <v>742.44</v>
      </c>
      <c r="H177" s="199"/>
      <c r="I177" s="200"/>
      <c r="J177" s="199"/>
      <c r="K177" s="129"/>
      <c r="L177" s="129"/>
      <c r="M177" s="224"/>
      <c r="N177" s="129"/>
      <c r="O177" s="200"/>
    </row>
    <row r="178" spans="1:20" ht="20.25" x14ac:dyDescent="0.3">
      <c r="A178" s="67"/>
      <c r="B178" s="185"/>
      <c r="C178" s="76" t="s">
        <v>27</v>
      </c>
      <c r="D178" s="56">
        <f>ROUND((D182*1.2)/1,1)*1</f>
        <v>837.7</v>
      </c>
      <c r="E178" s="56">
        <f t="shared" si="17"/>
        <v>1005.24</v>
      </c>
      <c r="F178" s="56">
        <f>ROUND((F182*1.2)/1,1)*1</f>
        <v>670.2</v>
      </c>
      <c r="G178" s="57">
        <f t="shared" si="18"/>
        <v>804.24</v>
      </c>
      <c r="H178" s="199"/>
      <c r="I178" s="200"/>
      <c r="J178" s="199"/>
      <c r="K178" s="129"/>
      <c r="L178" s="129"/>
      <c r="M178" s="224"/>
      <c r="N178" s="129"/>
      <c r="O178" s="200"/>
    </row>
    <row r="179" spans="1:20" ht="20.25" x14ac:dyDescent="0.3">
      <c r="A179" s="94"/>
      <c r="B179" s="110">
        <v>2</v>
      </c>
      <c r="C179" s="55" t="s">
        <v>24</v>
      </c>
      <c r="D179" s="56">
        <f>ROUND((D180*1.1)/1,1)*1</f>
        <v>590.70000000000005</v>
      </c>
      <c r="E179" s="56">
        <f t="shared" si="17"/>
        <v>708.84</v>
      </c>
      <c r="F179" s="56">
        <f>ROUND((F180*1.1)/1,1)*1</f>
        <v>472.6</v>
      </c>
      <c r="G179" s="57">
        <f t="shared" si="18"/>
        <v>567.12</v>
      </c>
      <c r="H179" s="199"/>
      <c r="I179" s="200"/>
      <c r="J179" s="199"/>
      <c r="K179" s="129"/>
      <c r="L179" s="129"/>
      <c r="M179" s="224"/>
      <c r="N179" s="129"/>
      <c r="O179" s="200"/>
      <c r="Q179" s="4" t="s">
        <v>55</v>
      </c>
      <c r="S179" s="4" t="s">
        <v>56</v>
      </c>
    </row>
    <row r="180" spans="1:20" ht="20.25" x14ac:dyDescent="0.3">
      <c r="A180" s="67" t="s">
        <v>28</v>
      </c>
      <c r="B180" s="80"/>
      <c r="C180" s="68" t="s">
        <v>25</v>
      </c>
      <c r="D180" s="245">
        <f>D132*1.5</f>
        <v>537.03300000000002</v>
      </c>
      <c r="E180" s="205">
        <f>D180*1.2</f>
        <v>644.43960000000004</v>
      </c>
      <c r="F180" s="245">
        <f>D180*0.8</f>
        <v>429.62640000000005</v>
      </c>
      <c r="G180" s="245">
        <f t="shared" si="18"/>
        <v>515.55168000000003</v>
      </c>
      <c r="H180" s="199"/>
      <c r="I180" s="200"/>
      <c r="J180" s="199"/>
      <c r="K180" s="129"/>
      <c r="L180" s="129"/>
      <c r="M180" s="224"/>
      <c r="N180" s="129"/>
      <c r="O180" s="200"/>
    </row>
    <row r="181" spans="1:20" ht="20.25" x14ac:dyDescent="0.3">
      <c r="A181" s="67" t="s">
        <v>40</v>
      </c>
      <c r="B181" s="80"/>
      <c r="C181" s="73" t="s">
        <v>26</v>
      </c>
      <c r="D181" s="56">
        <f>ROUND((D180*1.2)/1,1)*1</f>
        <v>644.4</v>
      </c>
      <c r="E181" s="56">
        <f t="shared" si="17"/>
        <v>773.28</v>
      </c>
      <c r="F181" s="56">
        <f>ROUND((F180*1.2)/1,1)*1</f>
        <v>515.6</v>
      </c>
      <c r="G181" s="57">
        <f t="shared" si="18"/>
        <v>618.72</v>
      </c>
      <c r="H181" s="199"/>
      <c r="I181" s="200"/>
      <c r="J181" s="199"/>
      <c r="K181" s="129"/>
      <c r="L181" s="129"/>
      <c r="M181" s="224"/>
      <c r="N181" s="129"/>
      <c r="O181" s="200"/>
      <c r="Q181" s="202">
        <v>0.6</v>
      </c>
      <c r="S181" s="202">
        <v>0.5</v>
      </c>
    </row>
    <row r="182" spans="1:20" ht="20.25" x14ac:dyDescent="0.3">
      <c r="A182" s="67"/>
      <c r="B182" s="185"/>
      <c r="C182" s="76" t="s">
        <v>27</v>
      </c>
      <c r="D182" s="56">
        <f>ROUND((D180*1.3)/1,1)*1</f>
        <v>698.1</v>
      </c>
      <c r="E182" s="56">
        <f t="shared" si="17"/>
        <v>837.72</v>
      </c>
      <c r="F182" s="56">
        <f>ROUND((F180*1.3)/1,1)*1</f>
        <v>558.5</v>
      </c>
      <c r="G182" s="57">
        <f t="shared" si="18"/>
        <v>670.19999999999993</v>
      </c>
      <c r="H182" s="199"/>
      <c r="I182" s="200"/>
      <c r="J182" s="199"/>
      <c r="K182" s="129"/>
      <c r="L182" s="129"/>
      <c r="M182" s="224"/>
      <c r="N182" s="129"/>
      <c r="O182" s="200"/>
    </row>
    <row r="183" spans="1:20" ht="20.25" x14ac:dyDescent="0.3">
      <c r="A183" s="67"/>
      <c r="B183" s="110">
        <v>3</v>
      </c>
      <c r="C183" s="55" t="s">
        <v>24</v>
      </c>
      <c r="D183" s="56">
        <f>ROUND((D179*0.8)/1,1)*1</f>
        <v>472.6</v>
      </c>
      <c r="E183" s="56">
        <f t="shared" si="17"/>
        <v>567.12</v>
      </c>
      <c r="F183" s="56">
        <f>ROUND((F179*0.8)/1,1)*1</f>
        <v>378.1</v>
      </c>
      <c r="G183" s="57">
        <f t="shared" si="18"/>
        <v>453.72</v>
      </c>
      <c r="H183" s="199"/>
      <c r="I183" s="253" t="s">
        <v>57</v>
      </c>
      <c r="J183" s="254"/>
      <c r="K183" s="254"/>
      <c r="L183" s="254"/>
      <c r="M183" s="255"/>
      <c r="N183" s="129"/>
      <c r="O183" s="200"/>
      <c r="Q183" s="203">
        <f>D181*Q181+D185*Q186</f>
        <v>592.84</v>
      </c>
      <c r="R183" s="203">
        <f>Q183*1.2</f>
        <v>711.40800000000002</v>
      </c>
      <c r="S183" s="170">
        <f>F181*S181+F185*S186</f>
        <v>464.05</v>
      </c>
      <c r="T183" s="203">
        <f>S183*1.2</f>
        <v>556.86</v>
      </c>
    </row>
    <row r="184" spans="1:20" ht="20.25" x14ac:dyDescent="0.3">
      <c r="A184" s="67" t="s">
        <v>36</v>
      </c>
      <c r="B184" s="80"/>
      <c r="C184" s="68" t="s">
        <v>25</v>
      </c>
      <c r="D184" s="56">
        <f>ROUND((D180*0.8)/1,1)*1</f>
        <v>429.6</v>
      </c>
      <c r="E184" s="56">
        <f t="shared" si="17"/>
        <v>515.52</v>
      </c>
      <c r="F184" s="56">
        <f>ROUND((F180*0.8)/1,1)*1</f>
        <v>343.7</v>
      </c>
      <c r="G184" s="57">
        <f t="shared" si="18"/>
        <v>412.44</v>
      </c>
      <c r="H184" s="199"/>
      <c r="I184" s="200"/>
      <c r="J184" s="199"/>
      <c r="K184" s="129"/>
      <c r="L184" s="129"/>
      <c r="M184" s="224"/>
      <c r="N184" s="129"/>
      <c r="O184" s="200"/>
      <c r="P184" s="192" t="s">
        <v>58</v>
      </c>
      <c r="Q184" s="246">
        <f>'[1]К ПИЛОМАТ-ЛЫ фр.-скл.строган.'!V449</f>
        <v>655.994535082384</v>
      </c>
      <c r="S184" s="246">
        <f>'[1]К ПИЛОМАТ-ЛЫ фр.-скл.строган.'!W449</f>
        <v>435.84224537725152</v>
      </c>
    </row>
    <row r="185" spans="1:20" ht="20.25" x14ac:dyDescent="0.3">
      <c r="A185" s="67"/>
      <c r="B185" s="80"/>
      <c r="C185" s="73" t="s">
        <v>26</v>
      </c>
      <c r="D185" s="56">
        <f>ROUND((D181*0.8)/1,1)*1</f>
        <v>515.5</v>
      </c>
      <c r="E185" s="56">
        <f t="shared" si="17"/>
        <v>618.6</v>
      </c>
      <c r="F185" s="56">
        <f>ROUND((F181*0.8)/1,1)*1</f>
        <v>412.5</v>
      </c>
      <c r="G185" s="57">
        <f t="shared" si="18"/>
        <v>495</v>
      </c>
      <c r="H185" s="199"/>
      <c r="I185" s="200"/>
      <c r="J185" s="199"/>
      <c r="K185" s="129"/>
      <c r="L185" s="129"/>
      <c r="M185" s="224"/>
      <c r="N185" s="129"/>
      <c r="O185" s="200"/>
      <c r="Q185" s="248">
        <f>(Q183-Q184)/Q184</f>
        <v>-9.6272959155753665E-2</v>
      </c>
      <c r="R185" s="248"/>
      <c r="S185" s="248">
        <f>(S183-S184)/S184</f>
        <v>6.4720102105597269E-2</v>
      </c>
    </row>
    <row r="186" spans="1:20" ht="20.25" x14ac:dyDescent="0.3">
      <c r="A186" s="67"/>
      <c r="B186" s="185"/>
      <c r="C186" s="76" t="s">
        <v>27</v>
      </c>
      <c r="D186" s="57">
        <f>ROUND((D182*0.8)/1,1)*1</f>
        <v>558.5</v>
      </c>
      <c r="E186" s="56">
        <f t="shared" si="17"/>
        <v>670.19999999999993</v>
      </c>
      <c r="F186" s="57">
        <f>ROUND((F182*0.8)/1,1)*1</f>
        <v>446.8</v>
      </c>
      <c r="G186" s="57">
        <f t="shared" si="18"/>
        <v>536.16</v>
      </c>
      <c r="H186" s="199"/>
      <c r="I186" s="200"/>
      <c r="J186" s="199"/>
      <c r="K186" s="129"/>
      <c r="L186" s="129"/>
      <c r="M186" s="224"/>
      <c r="N186" s="129"/>
      <c r="O186" s="200"/>
      <c r="Q186" s="249">
        <f>100%-Q181</f>
        <v>0.4</v>
      </c>
      <c r="S186" s="249">
        <f>100%-S181</f>
        <v>0.5</v>
      </c>
    </row>
    <row r="187" spans="1:20" ht="20.25" x14ac:dyDescent="0.3">
      <c r="A187" s="67" t="s">
        <v>59</v>
      </c>
      <c r="B187" s="80">
        <v>1</v>
      </c>
      <c r="C187" s="138">
        <v>100.125</v>
      </c>
      <c r="D187" s="56">
        <f>ROUND(D176*1.5/1,1)*1</f>
        <v>966.6</v>
      </c>
      <c r="E187" s="56">
        <f t="shared" si="17"/>
        <v>1159.92</v>
      </c>
      <c r="F187" s="56">
        <f>ROUND(F176*1.5/1,1)*1</f>
        <v>773.4</v>
      </c>
      <c r="G187" s="57">
        <f t="shared" si="18"/>
        <v>928.07999999999993</v>
      </c>
      <c r="H187" s="199"/>
      <c r="I187" s="200"/>
      <c r="J187" s="199"/>
      <c r="K187" s="199"/>
      <c r="L187" s="199"/>
      <c r="M187" s="224"/>
      <c r="N187" s="129"/>
      <c r="O187" s="200"/>
    </row>
    <row r="188" spans="1:20" ht="20.25" x14ac:dyDescent="0.3">
      <c r="A188" s="145"/>
      <c r="B188" s="148"/>
      <c r="C188" s="149" t="s">
        <v>33</v>
      </c>
      <c r="D188" s="57">
        <f>ROUND(D176*1.7/1,1)*1</f>
        <v>1095.5</v>
      </c>
      <c r="E188" s="56">
        <f t="shared" si="17"/>
        <v>1314.6</v>
      </c>
      <c r="F188" s="57">
        <f>ROUND(F176*1.7/1,1)*1</f>
        <v>876.5</v>
      </c>
      <c r="G188" s="57">
        <f t="shared" si="18"/>
        <v>1051.8</v>
      </c>
      <c r="H188" s="199"/>
      <c r="I188" s="200"/>
      <c r="J188" s="199"/>
      <c r="K188" s="199"/>
      <c r="L188" s="199"/>
      <c r="M188" s="224"/>
      <c r="N188" s="129"/>
      <c r="O188" s="200"/>
    </row>
    <row r="189" spans="1:20" ht="20.25" x14ac:dyDescent="0.3">
      <c r="A189" s="145"/>
      <c r="B189" s="110">
        <v>2</v>
      </c>
      <c r="C189" s="146">
        <v>100.125</v>
      </c>
      <c r="D189" s="57">
        <f>ROUND(D180*1.5/1,1)*1</f>
        <v>805.5</v>
      </c>
      <c r="E189" s="56">
        <f t="shared" si="17"/>
        <v>966.59999999999991</v>
      </c>
      <c r="F189" s="57">
        <f>ROUND(F180*1.5/1,1)*1</f>
        <v>644.4</v>
      </c>
      <c r="G189" s="57">
        <f t="shared" si="18"/>
        <v>773.28</v>
      </c>
      <c r="H189" s="199"/>
      <c r="I189" s="200"/>
      <c r="J189" s="199"/>
      <c r="K189" s="199"/>
      <c r="L189" s="199"/>
      <c r="M189" s="224"/>
      <c r="N189" s="129"/>
      <c r="O189" s="200"/>
    </row>
    <row r="190" spans="1:20" ht="20.25" x14ac:dyDescent="0.3">
      <c r="A190" s="145"/>
      <c r="B190" s="148"/>
      <c r="C190" s="149" t="s">
        <v>33</v>
      </c>
      <c r="D190" s="57">
        <f>ROUND(D180*1.7/1,1)*1</f>
        <v>913</v>
      </c>
      <c r="E190" s="56">
        <f t="shared" si="17"/>
        <v>1095.5999999999999</v>
      </c>
      <c r="F190" s="57">
        <f>ROUND(F180*1.7/1,1)*1</f>
        <v>730.4</v>
      </c>
      <c r="G190" s="57">
        <f t="shared" si="18"/>
        <v>876.4799999999999</v>
      </c>
      <c r="H190" s="199"/>
      <c r="I190" s="200"/>
      <c r="J190" s="199"/>
      <c r="K190" s="199"/>
      <c r="L190" s="199"/>
      <c r="M190" s="224"/>
      <c r="N190" s="129"/>
      <c r="O190" s="200"/>
    </row>
    <row r="191" spans="1:20" ht="20.25" x14ac:dyDescent="0.3">
      <c r="A191" s="145"/>
      <c r="B191" s="110">
        <v>3</v>
      </c>
      <c r="C191" s="146">
        <v>100.125</v>
      </c>
      <c r="D191" s="57">
        <f>ROUND(D184*1.5/1,1)*1</f>
        <v>644.4</v>
      </c>
      <c r="E191" s="56">
        <f t="shared" si="17"/>
        <v>773.28</v>
      </c>
      <c r="F191" s="57">
        <f>ROUND(F184*1.5/1,1)*1</f>
        <v>515.6</v>
      </c>
      <c r="G191" s="57">
        <f t="shared" si="18"/>
        <v>618.72</v>
      </c>
      <c r="H191" s="199"/>
      <c r="I191" s="200"/>
      <c r="J191" s="199"/>
      <c r="K191" s="199"/>
      <c r="L191" s="199"/>
      <c r="M191" s="224"/>
      <c r="N191" s="129"/>
      <c r="O191" s="200"/>
    </row>
    <row r="192" spans="1:20" ht="20.25" x14ac:dyDescent="0.3">
      <c r="A192" s="145"/>
      <c r="B192" s="256"/>
      <c r="C192" s="257" t="s">
        <v>33</v>
      </c>
      <c r="D192" s="208">
        <f>ROUND(D184*1.7/1,1)*1</f>
        <v>730.3</v>
      </c>
      <c r="E192" s="209">
        <f t="shared" si="17"/>
        <v>876.3599999999999</v>
      </c>
      <c r="F192" s="208">
        <f>ROUND(F184*1.7/1,1)*1</f>
        <v>584.29999999999995</v>
      </c>
      <c r="G192" s="208">
        <f t="shared" si="18"/>
        <v>701.16</v>
      </c>
      <c r="H192" s="199"/>
      <c r="I192" s="200"/>
      <c r="J192" s="199"/>
      <c r="K192" s="129"/>
      <c r="L192" s="129"/>
      <c r="M192" s="224"/>
      <c r="N192" s="129"/>
      <c r="O192" s="200"/>
    </row>
    <row r="193" spans="1:20" ht="23.25" x14ac:dyDescent="0.35">
      <c r="A193" s="258" t="s">
        <v>60</v>
      </c>
      <c r="B193" s="259"/>
      <c r="C193" s="259"/>
      <c r="D193" s="259"/>
      <c r="E193" s="259"/>
      <c r="F193" s="259"/>
      <c r="G193" s="260" t="str">
        <f>G5</f>
        <v>12.01.2026 г.</v>
      </c>
      <c r="H193" s="190"/>
      <c r="I193" s="199"/>
      <c r="J193" s="199"/>
      <c r="K193" s="261"/>
      <c r="L193" s="262"/>
      <c r="M193" s="74"/>
      <c r="N193" s="58"/>
    </row>
    <row r="194" spans="1:20" ht="76.5" customHeight="1" x14ac:dyDescent="0.35">
      <c r="A194" s="263"/>
      <c r="B194" s="264"/>
      <c r="C194" s="264"/>
      <c r="D194" s="264"/>
      <c r="E194" s="265"/>
      <c r="F194" s="266" t="s">
        <v>61</v>
      </c>
      <c r="G194" s="267" t="s">
        <v>62</v>
      </c>
      <c r="H194" s="39"/>
      <c r="I194" s="268"/>
      <c r="J194" s="269"/>
      <c r="K194" s="270"/>
      <c r="L194" s="271"/>
      <c r="M194" s="74"/>
      <c r="N194" s="58"/>
    </row>
    <row r="195" spans="1:20" ht="70.5" customHeight="1" x14ac:dyDescent="0.3">
      <c r="A195" s="253" t="s">
        <v>63</v>
      </c>
      <c r="B195" s="254"/>
      <c r="C195" s="254"/>
      <c r="D195" s="254"/>
      <c r="E195" s="255"/>
      <c r="F195" s="272">
        <f>ROUND(20*1.1*1.07,1)</f>
        <v>23.5</v>
      </c>
      <c r="G195" s="273">
        <f t="shared" ref="G195:G206" si="19">F195*1.2</f>
        <v>28.2</v>
      </c>
      <c r="H195" s="58"/>
      <c r="I195" s="200"/>
      <c r="K195" s="271"/>
      <c r="L195" s="271"/>
      <c r="M195" s="58"/>
      <c r="N195" s="58" t="s">
        <v>64</v>
      </c>
      <c r="Q195" s="274"/>
      <c r="R195" s="275"/>
      <c r="T195" s="248"/>
    </row>
    <row r="196" spans="1:20" ht="61.5" customHeight="1" x14ac:dyDescent="0.3">
      <c r="A196" s="253" t="s">
        <v>65</v>
      </c>
      <c r="B196" s="254"/>
      <c r="C196" s="254"/>
      <c r="D196" s="254"/>
      <c r="E196" s="255"/>
      <c r="F196" s="272">
        <f>ROUND(29*1.1*1.07,1)</f>
        <v>34.1</v>
      </c>
      <c r="G196" s="273">
        <f t="shared" si="19"/>
        <v>40.92</v>
      </c>
      <c r="H196" s="58"/>
      <c r="I196" s="200"/>
      <c r="K196" s="271"/>
      <c r="L196" s="271"/>
      <c r="M196" s="58"/>
      <c r="N196" s="58"/>
      <c r="Q196" s="274"/>
      <c r="R196" s="275"/>
      <c r="T196" s="248"/>
    </row>
    <row r="197" spans="1:20" ht="75" customHeight="1" x14ac:dyDescent="0.3">
      <c r="A197" s="253" t="s">
        <v>66</v>
      </c>
      <c r="B197" s="254"/>
      <c r="C197" s="254"/>
      <c r="D197" s="254"/>
      <c r="E197" s="255"/>
      <c r="F197" s="272">
        <f>ROUND(12.5*1.07,1)</f>
        <v>13.4</v>
      </c>
      <c r="G197" s="273">
        <f t="shared" si="19"/>
        <v>16.079999999999998</v>
      </c>
      <c r="H197" s="58"/>
      <c r="I197" s="200"/>
      <c r="K197" s="271"/>
      <c r="L197" s="271"/>
      <c r="M197" s="58"/>
      <c r="N197" s="4" t="s">
        <v>52</v>
      </c>
      <c r="T197" s="248"/>
    </row>
    <row r="198" spans="1:20" ht="62.25" customHeight="1" x14ac:dyDescent="0.3">
      <c r="A198" s="253" t="s">
        <v>67</v>
      </c>
      <c r="B198" s="254"/>
      <c r="C198" s="254"/>
      <c r="D198" s="254"/>
      <c r="E198" s="255"/>
      <c r="F198" s="272">
        <f>ROUND(23*1.07,1)</f>
        <v>24.6</v>
      </c>
      <c r="G198" s="273">
        <f t="shared" si="19"/>
        <v>29.52</v>
      </c>
      <c r="H198" s="58"/>
      <c r="I198" s="200"/>
      <c r="K198" s="271"/>
      <c r="L198" s="271"/>
      <c r="M198" s="58"/>
      <c r="T198" s="248"/>
    </row>
    <row r="199" spans="1:20" ht="62.25" customHeight="1" x14ac:dyDescent="0.3">
      <c r="A199" s="253" t="s">
        <v>68</v>
      </c>
      <c r="B199" s="254"/>
      <c r="C199" s="254"/>
      <c r="D199" s="254"/>
      <c r="E199" s="255"/>
      <c r="F199" s="272">
        <f>ROUND(12*1.07,1)</f>
        <v>12.8</v>
      </c>
      <c r="G199" s="273">
        <f t="shared" si="19"/>
        <v>15.36</v>
      </c>
      <c r="H199" s="58"/>
      <c r="I199" s="200"/>
      <c r="K199" s="271"/>
      <c r="L199" s="271"/>
      <c r="M199" s="58"/>
      <c r="T199" s="248"/>
    </row>
    <row r="200" spans="1:20" ht="62.25" customHeight="1" x14ac:dyDescent="0.3">
      <c r="A200" s="253" t="s">
        <v>69</v>
      </c>
      <c r="B200" s="254"/>
      <c r="C200" s="254"/>
      <c r="D200" s="254"/>
      <c r="E200" s="255"/>
      <c r="F200" s="272">
        <v>7</v>
      </c>
      <c r="G200" s="273">
        <f t="shared" si="19"/>
        <v>8.4</v>
      </c>
      <c r="H200" s="58"/>
      <c r="I200" s="200"/>
      <c r="K200" s="271"/>
      <c r="L200" s="271"/>
      <c r="M200" s="58"/>
      <c r="T200" s="248"/>
    </row>
    <row r="201" spans="1:20" ht="40.5" customHeight="1" x14ac:dyDescent="0.3">
      <c r="A201" s="253" t="s">
        <v>70</v>
      </c>
      <c r="B201" s="254"/>
      <c r="C201" s="254"/>
      <c r="D201" s="254"/>
      <c r="E201" s="255"/>
      <c r="F201" s="272">
        <f>ROUND(12*1.07,1)</f>
        <v>12.8</v>
      </c>
      <c r="G201" s="273">
        <f t="shared" si="19"/>
        <v>15.36</v>
      </c>
      <c r="H201" s="58"/>
      <c r="I201" s="200"/>
      <c r="K201" s="271"/>
      <c r="L201" s="271"/>
      <c r="M201" s="58"/>
      <c r="T201" s="248"/>
    </row>
    <row r="202" spans="1:20" ht="40.5" customHeight="1" x14ac:dyDescent="0.3">
      <c r="A202" s="253" t="s">
        <v>71</v>
      </c>
      <c r="B202" s="254"/>
      <c r="C202" s="254"/>
      <c r="D202" s="254"/>
      <c r="E202" s="255"/>
      <c r="F202" s="272">
        <f>ROUND(12*1.07,1)</f>
        <v>12.8</v>
      </c>
      <c r="G202" s="273">
        <f t="shared" si="19"/>
        <v>15.36</v>
      </c>
      <c r="H202" s="58"/>
      <c r="I202" s="200"/>
      <c r="J202" s="276" t="s">
        <v>72</v>
      </c>
      <c r="K202" s="271"/>
      <c r="L202" s="271"/>
      <c r="M202" s="58"/>
      <c r="O202" s="4" t="s">
        <v>73</v>
      </c>
      <c r="T202" s="248"/>
    </row>
    <row r="203" spans="1:20" ht="60.75" customHeight="1" x14ac:dyDescent="0.3">
      <c r="A203" s="277" t="s">
        <v>74</v>
      </c>
      <c r="B203" s="278"/>
      <c r="C203" s="279"/>
      <c r="D203" s="280" t="s">
        <v>75</v>
      </c>
      <c r="E203" s="281"/>
      <c r="F203" s="272">
        <f>ROUND(790*1.07,1)</f>
        <v>845.3</v>
      </c>
      <c r="G203" s="273">
        <f t="shared" si="19"/>
        <v>1014.3599999999999</v>
      </c>
      <c r="H203" s="282"/>
      <c r="I203" s="200"/>
      <c r="J203" s="4">
        <v>715</v>
      </c>
      <c r="K203" s="271"/>
      <c r="L203" s="271">
        <f>ROUND(H203*1.05/10,0)*10</f>
        <v>0</v>
      </c>
      <c r="M203" s="283">
        <v>0.5</v>
      </c>
      <c r="N203" s="58">
        <f>F203*M203+F204*M204</f>
        <v>805.2</v>
      </c>
      <c r="O203" s="284">
        <f>F203/J203-100%</f>
        <v>0.18223776223776222</v>
      </c>
      <c r="Q203" s="246"/>
      <c r="R203" s="246"/>
    </row>
    <row r="204" spans="1:20" ht="39.75" customHeight="1" x14ac:dyDescent="0.3">
      <c r="A204" s="285"/>
      <c r="B204" s="286"/>
      <c r="C204" s="287"/>
      <c r="D204" s="280" t="s">
        <v>76</v>
      </c>
      <c r="E204" s="281"/>
      <c r="F204" s="272">
        <f>ROUND(650*1.1*1.07,1)</f>
        <v>765.1</v>
      </c>
      <c r="G204" s="273">
        <f t="shared" si="19"/>
        <v>918.12</v>
      </c>
      <c r="H204" s="282"/>
      <c r="I204" s="200">
        <f>F203/F204</f>
        <v>1.1048228989674551</v>
      </c>
      <c r="J204" s="4">
        <v>650</v>
      </c>
      <c r="K204" s="271"/>
      <c r="L204" s="271"/>
      <c r="M204" s="283">
        <f>1-M203</f>
        <v>0.5</v>
      </c>
      <c r="N204" s="58"/>
      <c r="O204" s="284">
        <f t="shared" ref="O204:O216" si="20">F204/J204-100%</f>
        <v>0.17707692307692313</v>
      </c>
      <c r="Q204" s="4">
        <v>600</v>
      </c>
    </row>
    <row r="205" spans="1:20" ht="38.25" customHeight="1" x14ac:dyDescent="0.3">
      <c r="A205" s="277" t="s">
        <v>77</v>
      </c>
      <c r="B205" s="278"/>
      <c r="C205" s="279"/>
      <c r="D205" s="280" t="s">
        <v>75</v>
      </c>
      <c r="E205" s="281"/>
      <c r="F205" s="272">
        <f>ROUND(F206*1.1*1.07,1)</f>
        <v>954.5</v>
      </c>
      <c r="G205" s="273">
        <f t="shared" si="19"/>
        <v>1145.3999999999999</v>
      </c>
      <c r="H205" s="282"/>
      <c r="I205" s="200"/>
      <c r="J205" s="4">
        <v>757.90000000000009</v>
      </c>
      <c r="K205" s="271"/>
      <c r="L205" s="271">
        <f>ROUND(H205*1.05/10,0)*10</f>
        <v>0</v>
      </c>
      <c r="M205" s="58"/>
      <c r="N205" s="58">
        <f>F205*M203+F206*M204</f>
        <v>882.75</v>
      </c>
      <c r="O205" s="284">
        <f t="shared" si="20"/>
        <v>0.25940097638210835</v>
      </c>
      <c r="Q205" s="246"/>
      <c r="R205" s="246"/>
    </row>
    <row r="206" spans="1:20" ht="36.75" customHeight="1" x14ac:dyDescent="0.3">
      <c r="A206" s="288"/>
      <c r="B206" s="286"/>
      <c r="C206" s="287"/>
      <c r="D206" s="280" t="s">
        <v>76</v>
      </c>
      <c r="E206" s="281"/>
      <c r="F206" s="272">
        <f>ROUND(530*1.3*1.1*1.07,1)</f>
        <v>811</v>
      </c>
      <c r="G206" s="273">
        <f t="shared" si="19"/>
        <v>973.19999999999993</v>
      </c>
      <c r="H206" s="282"/>
      <c r="I206" s="200">
        <f>F205/F206</f>
        <v>1.1769420468557337</v>
      </c>
      <c r="J206" s="4">
        <v>689</v>
      </c>
      <c r="K206" s="271"/>
      <c r="L206" s="271"/>
      <c r="M206" s="58"/>
      <c r="N206" s="58"/>
      <c r="O206" s="284">
        <f t="shared" si="20"/>
        <v>0.17706821480406387</v>
      </c>
    </row>
    <row r="207" spans="1:20" ht="21" customHeight="1" x14ac:dyDescent="0.3">
      <c r="A207" s="289" t="s">
        <v>78</v>
      </c>
      <c r="B207" s="290"/>
      <c r="C207" s="291"/>
      <c r="D207" s="292" t="s">
        <v>75</v>
      </c>
      <c r="E207" s="293"/>
      <c r="F207" s="294"/>
      <c r="G207" s="295"/>
      <c r="H207" s="296"/>
      <c r="I207" s="297"/>
      <c r="K207" s="270"/>
      <c r="L207" s="271"/>
      <c r="M207" s="58"/>
      <c r="N207" s="58"/>
      <c r="O207" s="284"/>
      <c r="P207" s="39"/>
    </row>
    <row r="208" spans="1:20" ht="21" customHeight="1" x14ac:dyDescent="0.3">
      <c r="A208" s="298" t="s">
        <v>79</v>
      </c>
      <c r="B208" s="299"/>
      <c r="C208" s="300"/>
      <c r="D208" s="301"/>
      <c r="E208" s="302"/>
      <c r="F208" s="303">
        <f>ROUND(876*1.07,1)</f>
        <v>937.3</v>
      </c>
      <c r="G208" s="273">
        <f t="shared" ref="G208:G213" si="21">F208*1.2</f>
        <v>1124.76</v>
      </c>
      <c r="H208" s="296"/>
      <c r="I208" s="297"/>
      <c r="J208" s="4">
        <v>756</v>
      </c>
      <c r="K208" s="270"/>
      <c r="L208" s="304">
        <f>ROUND(H207*1.05/10,0)*10</f>
        <v>0</v>
      </c>
      <c r="M208" s="305">
        <v>0.5</v>
      </c>
      <c r="N208" s="129">
        <f>F207*M208+F209*M209</f>
        <v>401.25</v>
      </c>
      <c r="O208" s="284">
        <f t="shared" si="20"/>
        <v>0.2398148148148147</v>
      </c>
      <c r="P208" s="199"/>
      <c r="Q208" s="246"/>
      <c r="R208" s="246"/>
    </row>
    <row r="209" spans="1:18" ht="39.75" customHeight="1" x14ac:dyDescent="0.3">
      <c r="A209" s="306"/>
      <c r="B209" s="307"/>
      <c r="C209" s="287"/>
      <c r="D209" s="280" t="s">
        <v>76</v>
      </c>
      <c r="E209" s="281"/>
      <c r="F209" s="308">
        <f>ROUND(750*1.07,1)</f>
        <v>802.5</v>
      </c>
      <c r="G209" s="273">
        <f t="shared" si="21"/>
        <v>963</v>
      </c>
      <c r="H209" s="282"/>
      <c r="I209" s="200">
        <f>F208/F209</f>
        <v>1.1679750778816198</v>
      </c>
      <c r="J209" s="4">
        <v>630</v>
      </c>
      <c r="K209" s="271"/>
      <c r="L209" s="304"/>
      <c r="M209" s="305">
        <f>1-M208</f>
        <v>0.5</v>
      </c>
      <c r="N209" s="129"/>
      <c r="O209" s="284">
        <f t="shared" si="20"/>
        <v>0.27380952380952372</v>
      </c>
      <c r="P209" s="199"/>
    </row>
    <row r="210" spans="1:18" ht="39.75" customHeight="1" x14ac:dyDescent="0.3">
      <c r="A210" s="309" t="s">
        <v>80</v>
      </c>
      <c r="B210" s="310"/>
      <c r="C210" s="311"/>
      <c r="D210" s="280" t="s">
        <v>75</v>
      </c>
      <c r="E210" s="281"/>
      <c r="F210" s="308">
        <f>ROUND(986.46*1.07,1)</f>
        <v>1055.5</v>
      </c>
      <c r="G210" s="273">
        <f t="shared" si="21"/>
        <v>1266.5999999999999</v>
      </c>
      <c r="H210" s="282"/>
      <c r="I210" s="200"/>
      <c r="J210" s="4">
        <v>792</v>
      </c>
      <c r="K210" s="271"/>
      <c r="L210" s="304"/>
      <c r="M210" s="305"/>
      <c r="N210" s="129"/>
      <c r="O210" s="284">
        <f t="shared" si="20"/>
        <v>0.33270202020202011</v>
      </c>
      <c r="P210" s="199"/>
    </row>
    <row r="211" spans="1:18" ht="39.75" customHeight="1" x14ac:dyDescent="0.3">
      <c r="A211" s="298"/>
      <c r="B211" s="299"/>
      <c r="C211" s="300"/>
      <c r="D211" s="280" t="s">
        <v>76</v>
      </c>
      <c r="E211" s="281"/>
      <c r="F211" s="308">
        <f>ROUND(789.17*1.07,1)</f>
        <v>844.4</v>
      </c>
      <c r="G211" s="273">
        <f t="shared" si="21"/>
        <v>1013.28</v>
      </c>
      <c r="H211" s="282"/>
      <c r="I211" s="200"/>
      <c r="J211" s="4">
        <v>660</v>
      </c>
      <c r="K211" s="271"/>
      <c r="L211" s="304"/>
      <c r="M211" s="305"/>
      <c r="N211" s="129"/>
      <c r="O211" s="284">
        <f t="shared" si="20"/>
        <v>0.27939393939393931</v>
      </c>
      <c r="P211" s="199"/>
    </row>
    <row r="212" spans="1:18" ht="41.25" customHeight="1" x14ac:dyDescent="0.3">
      <c r="A212" s="309" t="s">
        <v>81</v>
      </c>
      <c r="B212" s="310"/>
      <c r="C212" s="311"/>
      <c r="D212" s="280" t="s">
        <v>75</v>
      </c>
      <c r="E212" s="281"/>
      <c r="F212" s="308">
        <f>ROUND(876.84*1.07,1)</f>
        <v>938.2</v>
      </c>
      <c r="G212" s="273">
        <f t="shared" si="21"/>
        <v>1125.8399999999999</v>
      </c>
      <c r="H212" s="282"/>
      <c r="I212" s="200"/>
      <c r="J212" s="4">
        <v>792</v>
      </c>
      <c r="K212" s="271"/>
      <c r="L212" s="304"/>
      <c r="M212" s="129"/>
      <c r="N212" s="129">
        <f>F212*M208+F213*M209</f>
        <v>870.35</v>
      </c>
      <c r="O212" s="284">
        <f t="shared" si="20"/>
        <v>0.18459595959595965</v>
      </c>
      <c r="P212" s="199"/>
      <c r="Q212" s="246"/>
      <c r="R212" s="246"/>
    </row>
    <row r="213" spans="1:18" ht="41.25" customHeight="1" x14ac:dyDescent="0.3">
      <c r="A213" s="298"/>
      <c r="B213" s="299"/>
      <c r="C213" s="300"/>
      <c r="D213" s="280" t="s">
        <v>76</v>
      </c>
      <c r="E213" s="281"/>
      <c r="F213" s="308">
        <f>ROUND(750*1.07,1)</f>
        <v>802.5</v>
      </c>
      <c r="G213" s="273">
        <f t="shared" si="21"/>
        <v>963</v>
      </c>
      <c r="H213" s="282"/>
      <c r="I213" s="200">
        <f>F212/F213</f>
        <v>1.1690965732087228</v>
      </c>
      <c r="J213" s="4">
        <v>660</v>
      </c>
      <c r="K213" s="271"/>
      <c r="L213" s="271">
        <f>ROUND(H213*1.05/10,0)*10</f>
        <v>0</v>
      </c>
      <c r="M213" s="58"/>
      <c r="N213" s="58"/>
      <c r="O213" s="284">
        <f t="shared" si="20"/>
        <v>0.21590909090909083</v>
      </c>
    </row>
    <row r="214" spans="1:18" ht="21" customHeight="1" x14ac:dyDescent="0.3">
      <c r="A214" s="312" t="s">
        <v>82</v>
      </c>
      <c r="B214" s="313"/>
      <c r="C214" s="314"/>
      <c r="D214" s="292" t="s">
        <v>75</v>
      </c>
      <c r="E214" s="293"/>
      <c r="F214" s="315"/>
      <c r="G214" s="316">
        <f>F215*1.2</f>
        <v>1014.3599999999999</v>
      </c>
      <c r="H214" s="296"/>
      <c r="I214" s="297"/>
      <c r="K214" s="270"/>
      <c r="L214" s="271"/>
      <c r="M214" s="58"/>
      <c r="N214" s="58"/>
      <c r="O214" s="284"/>
    </row>
    <row r="215" spans="1:18" ht="24.75" customHeight="1" x14ac:dyDescent="0.3">
      <c r="A215" s="285"/>
      <c r="B215" s="317"/>
      <c r="C215" s="318"/>
      <c r="D215" s="301"/>
      <c r="E215" s="302"/>
      <c r="F215" s="308">
        <f>ROUND(790*1.07,1)</f>
        <v>845.3</v>
      </c>
      <c r="G215" s="319"/>
      <c r="H215" s="296"/>
      <c r="I215" s="297"/>
      <c r="J215" s="4">
        <v>720.72000000000014</v>
      </c>
      <c r="K215" s="270"/>
      <c r="L215" s="271"/>
      <c r="M215" s="283">
        <f>M208</f>
        <v>0.5</v>
      </c>
      <c r="N215" s="58">
        <f>F214*M215+F216*M216</f>
        <v>379.85</v>
      </c>
      <c r="O215" s="284">
        <f t="shared" si="20"/>
        <v>0.17285492285492254</v>
      </c>
      <c r="Q215" s="246"/>
      <c r="R215" s="246"/>
    </row>
    <row r="216" spans="1:18" ht="39" customHeight="1" x14ac:dyDescent="0.3">
      <c r="A216" s="320"/>
      <c r="B216" s="307"/>
      <c r="C216" s="287"/>
      <c r="D216" s="280" t="s">
        <v>76</v>
      </c>
      <c r="E216" s="281"/>
      <c r="F216" s="308">
        <f>ROUND(710*1.07,1)</f>
        <v>759.7</v>
      </c>
      <c r="G216" s="273">
        <f>F216*1.2</f>
        <v>911.64</v>
      </c>
      <c r="H216" s="282"/>
      <c r="I216" s="200">
        <f>F215/F216</f>
        <v>1.112676056338028</v>
      </c>
      <c r="J216" s="4">
        <v>624</v>
      </c>
      <c r="K216" s="271"/>
      <c r="L216" s="271"/>
      <c r="M216" s="283">
        <f>M209</f>
        <v>0.5</v>
      </c>
      <c r="N216" s="58"/>
      <c r="O216" s="284">
        <f t="shared" si="20"/>
        <v>0.21746794871794872</v>
      </c>
      <c r="R216" s="246"/>
    </row>
    <row r="217" spans="1:18" ht="18" hidden="1" customHeight="1" x14ac:dyDescent="0.3">
      <c r="A217" s="321" t="s">
        <v>83</v>
      </c>
      <c r="B217" s="322"/>
      <c r="C217" s="322"/>
      <c r="D217" s="323"/>
      <c r="E217" s="322"/>
      <c r="F217" s="304"/>
      <c r="G217" s="273">
        <f t="shared" ref="G217:G222" si="22">F217/10000</f>
        <v>0</v>
      </c>
      <c r="H217" s="282"/>
      <c r="I217" s="200"/>
      <c r="K217" s="271"/>
      <c r="L217" s="271">
        <f>ROUND(H217*1.05/10,0)*10</f>
        <v>0</v>
      </c>
      <c r="M217" s="58"/>
      <c r="N217" s="58"/>
      <c r="O217" s="324"/>
    </row>
    <row r="218" spans="1:18" ht="18" hidden="1" customHeight="1" x14ac:dyDescent="0.3">
      <c r="A218" s="321" t="s">
        <v>84</v>
      </c>
      <c r="B218" s="322"/>
      <c r="C218" s="322"/>
      <c r="D218" s="323"/>
      <c r="E218" s="322"/>
      <c r="F218" s="304"/>
      <c r="G218" s="273">
        <f t="shared" si="22"/>
        <v>0</v>
      </c>
      <c r="H218" s="282"/>
      <c r="I218" s="200"/>
      <c r="K218" s="271"/>
      <c r="L218" s="271"/>
      <c r="M218" s="58"/>
      <c r="N218" s="58"/>
    </row>
    <row r="219" spans="1:18" ht="18" hidden="1" customHeight="1" x14ac:dyDescent="0.3">
      <c r="A219" s="325" t="s">
        <v>85</v>
      </c>
      <c r="B219" s="326"/>
      <c r="C219" s="326"/>
      <c r="D219" s="327"/>
      <c r="E219" s="327"/>
      <c r="F219" s="304"/>
      <c r="G219" s="273">
        <f t="shared" si="22"/>
        <v>0</v>
      </c>
      <c r="H219" s="282"/>
      <c r="I219" s="200"/>
      <c r="K219" s="271"/>
      <c r="L219" s="271">
        <f>ROUND(H219*1.05/10,0)*10</f>
        <v>0</v>
      </c>
      <c r="M219" s="58"/>
      <c r="N219" s="58"/>
      <c r="O219" s="100"/>
    </row>
    <row r="220" spans="1:18" ht="18" hidden="1" customHeight="1" x14ac:dyDescent="0.3">
      <c r="A220" s="325"/>
      <c r="B220" s="326"/>
      <c r="C220" s="326"/>
      <c r="D220" s="327"/>
      <c r="E220" s="327"/>
      <c r="F220" s="304"/>
      <c r="G220" s="273">
        <f t="shared" si="22"/>
        <v>0</v>
      </c>
      <c r="H220" s="282"/>
      <c r="I220" s="200"/>
      <c r="K220" s="271"/>
      <c r="L220" s="271"/>
      <c r="M220" s="58"/>
      <c r="N220" s="58"/>
      <c r="O220" s="100"/>
    </row>
    <row r="221" spans="1:18" ht="18" hidden="1" customHeight="1" x14ac:dyDescent="0.3">
      <c r="A221" s="321" t="s">
        <v>86</v>
      </c>
      <c r="B221" s="322"/>
      <c r="C221" s="322"/>
      <c r="D221" s="323"/>
      <c r="E221" s="322"/>
      <c r="F221" s="304"/>
      <c r="G221" s="273">
        <f t="shared" si="22"/>
        <v>0</v>
      </c>
      <c r="H221" s="282"/>
      <c r="I221" s="200"/>
      <c r="K221" s="271"/>
      <c r="L221" s="271"/>
      <c r="M221" s="58"/>
      <c r="N221" s="58"/>
    </row>
    <row r="222" spans="1:18" ht="18" hidden="1" customHeight="1" x14ac:dyDescent="0.3">
      <c r="A222" s="325" t="s">
        <v>85</v>
      </c>
      <c r="B222" s="326"/>
      <c r="C222" s="326"/>
      <c r="D222" s="327"/>
      <c r="E222" s="327"/>
      <c r="F222" s="304"/>
      <c r="G222" s="273">
        <f t="shared" si="22"/>
        <v>0</v>
      </c>
      <c r="H222" s="282"/>
      <c r="I222" s="200"/>
      <c r="K222" s="271"/>
      <c r="L222" s="271">
        <f>ROUND(H222*1.05/10,0)*10</f>
        <v>0</v>
      </c>
      <c r="M222" s="58"/>
      <c r="N222" s="58"/>
      <c r="O222" s="100"/>
    </row>
    <row r="223" spans="1:18" ht="20.25" x14ac:dyDescent="0.3">
      <c r="A223" s="325" t="s">
        <v>87</v>
      </c>
      <c r="B223" s="326"/>
      <c r="C223" s="326" t="s">
        <v>88</v>
      </c>
      <c r="D223" s="328"/>
      <c r="E223" s="327" t="s">
        <v>89</v>
      </c>
      <c r="F223" s="329">
        <f>300*1.3*1.07</f>
        <v>417.3</v>
      </c>
      <c r="G223" s="273">
        <f t="shared" ref="G223:G265" si="23">F223*1.2</f>
        <v>500.76</v>
      </c>
      <c r="H223" s="330"/>
      <c r="I223" s="200"/>
      <c r="K223" s="271"/>
      <c r="L223" s="271">
        <f>ROUND(H223*1.05/10,0)*10</f>
        <v>0</v>
      </c>
      <c r="M223" s="58"/>
      <c r="N223" s="58"/>
      <c r="O223" s="100"/>
    </row>
    <row r="224" spans="1:18" ht="21" hidden="1" customHeight="1" x14ac:dyDescent="0.3">
      <c r="A224" s="321" t="s">
        <v>90</v>
      </c>
      <c r="B224" s="322"/>
      <c r="C224" s="322"/>
      <c r="D224" s="323"/>
      <c r="E224" s="322"/>
      <c r="F224" s="329"/>
      <c r="G224" s="273">
        <f t="shared" si="23"/>
        <v>0</v>
      </c>
      <c r="H224" s="330"/>
      <c r="I224" s="200"/>
      <c r="K224" s="271"/>
      <c r="L224" s="271">
        <f>ROUND(H224*1.05/10,0)*10</f>
        <v>0</v>
      </c>
      <c r="M224" s="58"/>
      <c r="N224" s="58"/>
      <c r="O224" s="324"/>
    </row>
    <row r="225" spans="1:15" ht="21" hidden="1" customHeight="1" x14ac:dyDescent="0.3">
      <c r="A225" s="325"/>
      <c r="B225" s="326"/>
      <c r="C225" s="326"/>
      <c r="D225" s="327" t="s">
        <v>91</v>
      </c>
      <c r="E225" s="327"/>
      <c r="F225" s="329"/>
      <c r="G225" s="273">
        <f t="shared" si="23"/>
        <v>0</v>
      </c>
      <c r="H225" s="330"/>
      <c r="I225" s="200"/>
      <c r="K225" s="271"/>
      <c r="L225" s="271">
        <f>ROUND(H225*1.05/10,0)*10</f>
        <v>0</v>
      </c>
      <c r="M225" s="58"/>
      <c r="N225" s="58"/>
      <c r="O225" s="100"/>
    </row>
    <row r="226" spans="1:15" ht="21" hidden="1" customHeight="1" x14ac:dyDescent="0.3">
      <c r="A226" s="320" t="s">
        <v>92</v>
      </c>
      <c r="B226" s="307"/>
      <c r="C226" s="307"/>
      <c r="D226" s="287"/>
      <c r="E226" s="307"/>
      <c r="F226" s="329"/>
      <c r="G226" s="273">
        <f t="shared" si="23"/>
        <v>0</v>
      </c>
      <c r="H226" s="330"/>
      <c r="I226" s="200"/>
      <c r="K226" s="271"/>
      <c r="L226" s="271">
        <f>ROUND(H226*1.05/10,0)*10</f>
        <v>0</v>
      </c>
      <c r="M226" s="58"/>
      <c r="N226" s="58"/>
      <c r="O226" s="100"/>
    </row>
    <row r="227" spans="1:15" ht="21" customHeight="1" x14ac:dyDescent="0.3">
      <c r="A227" s="320"/>
      <c r="B227" s="307"/>
      <c r="C227" s="307"/>
      <c r="D227" s="39"/>
      <c r="E227" s="287" t="s">
        <v>93</v>
      </c>
      <c r="F227" s="329">
        <f>350*1.3*1.07</f>
        <v>486.85</v>
      </c>
      <c r="G227" s="273">
        <f t="shared" si="23"/>
        <v>584.22</v>
      </c>
      <c r="H227" s="330"/>
      <c r="I227" s="200"/>
      <c r="K227" s="271"/>
      <c r="L227" s="271"/>
      <c r="M227" s="58"/>
      <c r="N227" s="58"/>
      <c r="O227" s="100"/>
    </row>
    <row r="228" spans="1:15" ht="38.450000000000003" hidden="1" customHeight="1" x14ac:dyDescent="0.3">
      <c r="A228" s="331" t="s">
        <v>94</v>
      </c>
      <c r="B228" s="332"/>
      <c r="C228" s="332"/>
      <c r="D228" s="332"/>
      <c r="E228" s="333"/>
      <c r="F228" s="329">
        <f>109.4*1.048</f>
        <v>114.65120000000002</v>
      </c>
      <c r="G228" s="273">
        <f t="shared" si="23"/>
        <v>137.58144000000001</v>
      </c>
      <c r="H228" s="330"/>
      <c r="I228" s="200"/>
      <c r="K228" s="271"/>
      <c r="L228" s="271">
        <f>ROUND(H228*1.05/10,0)*10</f>
        <v>0</v>
      </c>
      <c r="M228" s="58"/>
      <c r="N228" s="58"/>
      <c r="O228" s="100"/>
    </row>
    <row r="229" spans="1:15" ht="20.25" customHeight="1" x14ac:dyDescent="0.3">
      <c r="A229" s="331" t="s">
        <v>95</v>
      </c>
      <c r="B229" s="332"/>
      <c r="C229" s="332"/>
      <c r="D229" s="332"/>
      <c r="E229" s="333"/>
      <c r="F229" s="329">
        <f>ROUND(30*1.3*1.1*1.2*1.07,1)</f>
        <v>55.1</v>
      </c>
      <c r="G229" s="273">
        <f t="shared" si="23"/>
        <v>66.12</v>
      </c>
      <c r="H229" s="330"/>
      <c r="I229" s="200"/>
      <c r="K229" s="271"/>
      <c r="L229" s="271">
        <f>ROUND(H229*1.05/10,0)*10</f>
        <v>0</v>
      </c>
      <c r="M229" s="58"/>
      <c r="N229" s="58"/>
      <c r="O229" s="100"/>
    </row>
    <row r="230" spans="1:15" ht="20.25" customHeight="1" x14ac:dyDescent="0.3">
      <c r="A230" s="331" t="s">
        <v>96</v>
      </c>
      <c r="B230" s="332"/>
      <c r="C230" s="332"/>
      <c r="D230" s="332"/>
      <c r="E230" s="333"/>
      <c r="F230" s="329">
        <f>ROUND(20*1.3*1.1*1.2*1.07,1)</f>
        <v>36.700000000000003</v>
      </c>
      <c r="G230" s="273">
        <f t="shared" si="23"/>
        <v>44.04</v>
      </c>
      <c r="H230" s="330"/>
      <c r="I230" s="200"/>
      <c r="K230" s="271"/>
      <c r="L230" s="271">
        <f>ROUND(H230*1.05/10,0)*10</f>
        <v>0</v>
      </c>
      <c r="M230" s="58"/>
      <c r="N230" s="58"/>
      <c r="O230" s="100"/>
    </row>
    <row r="231" spans="1:15" ht="17.45" hidden="1" customHeight="1" x14ac:dyDescent="0.3">
      <c r="A231" s="320" t="s">
        <v>97</v>
      </c>
      <c r="B231" s="307"/>
      <c r="C231" s="307"/>
      <c r="D231" s="287"/>
      <c r="E231" s="287"/>
      <c r="F231" s="329"/>
      <c r="G231" s="273">
        <f t="shared" si="23"/>
        <v>0</v>
      </c>
      <c r="H231" s="330"/>
      <c r="I231" s="200"/>
      <c r="K231" s="271"/>
      <c r="L231" s="271">
        <f>ROUND(H231*1.05/10,0)*10</f>
        <v>0</v>
      </c>
      <c r="M231" s="58"/>
      <c r="N231" s="58"/>
      <c r="O231" s="324"/>
    </row>
    <row r="232" spans="1:15" ht="17.45" hidden="1" customHeight="1" x14ac:dyDescent="0.3">
      <c r="A232" s="334" t="s">
        <v>98</v>
      </c>
      <c r="B232" s="335"/>
      <c r="C232" s="335"/>
      <c r="D232" s="336"/>
      <c r="E232" s="139"/>
      <c r="F232" s="329"/>
      <c r="G232" s="273">
        <f t="shared" si="23"/>
        <v>0</v>
      </c>
      <c r="H232" s="330"/>
      <c r="I232" s="200"/>
      <c r="K232" s="271"/>
      <c r="L232" s="271"/>
      <c r="M232" s="58"/>
      <c r="N232" s="58"/>
    </row>
    <row r="233" spans="1:15" ht="17.45" hidden="1" customHeight="1" x14ac:dyDescent="0.3">
      <c r="A233" s="337" t="s">
        <v>99</v>
      </c>
      <c r="B233" s="338"/>
      <c r="C233" s="338"/>
      <c r="D233" s="339"/>
      <c r="E233" s="139"/>
      <c r="F233" s="329"/>
      <c r="G233" s="273">
        <f t="shared" si="23"/>
        <v>0</v>
      </c>
      <c r="H233" s="330"/>
      <c r="I233" s="200"/>
      <c r="K233" s="271"/>
      <c r="L233" s="271">
        <f>ROUND(H233*1.05/10,0)*10</f>
        <v>0</v>
      </c>
      <c r="M233" s="58"/>
      <c r="N233" s="58"/>
      <c r="O233" s="324"/>
    </row>
    <row r="234" spans="1:15" ht="31.15" hidden="1" customHeight="1" x14ac:dyDescent="0.3">
      <c r="A234" s="331" t="s">
        <v>100</v>
      </c>
      <c r="B234" s="332"/>
      <c r="C234" s="332"/>
      <c r="D234" s="333"/>
      <c r="E234" s="139"/>
      <c r="F234" s="329"/>
      <c r="G234" s="273">
        <f t="shared" si="23"/>
        <v>0</v>
      </c>
      <c r="H234" s="330"/>
      <c r="I234" s="200"/>
      <c r="K234" s="271"/>
      <c r="L234" s="271"/>
      <c r="M234" s="58"/>
      <c r="N234" s="58"/>
    </row>
    <row r="235" spans="1:15" ht="17.45" hidden="1" customHeight="1" x14ac:dyDescent="0.3">
      <c r="A235" s="337" t="s">
        <v>101</v>
      </c>
      <c r="B235" s="338"/>
      <c r="C235" s="338"/>
      <c r="D235" s="339"/>
      <c r="E235" s="139"/>
      <c r="F235" s="329"/>
      <c r="G235" s="273">
        <f t="shared" si="23"/>
        <v>0</v>
      </c>
      <c r="H235" s="330"/>
      <c r="I235" s="200"/>
      <c r="K235" s="271"/>
      <c r="L235" s="271">
        <f t="shared" ref="L235:L249" si="24">ROUND(H235*1.05/10,0)*10</f>
        <v>0</v>
      </c>
      <c r="M235" s="58"/>
      <c r="N235" s="58"/>
      <c r="O235" s="324"/>
    </row>
    <row r="236" spans="1:15" ht="44.45" hidden="1" customHeight="1" x14ac:dyDescent="0.3">
      <c r="A236" s="331" t="s">
        <v>102</v>
      </c>
      <c r="B236" s="332"/>
      <c r="C236" s="332"/>
      <c r="D236" s="333"/>
      <c r="E236" s="139"/>
      <c r="F236" s="329"/>
      <c r="G236" s="273">
        <f t="shared" si="23"/>
        <v>0</v>
      </c>
      <c r="H236" s="330"/>
      <c r="I236" s="200"/>
      <c r="K236" s="271"/>
      <c r="L236" s="271">
        <f t="shared" si="24"/>
        <v>0</v>
      </c>
      <c r="M236" s="58"/>
      <c r="N236" s="58"/>
      <c r="O236" s="324"/>
    </row>
    <row r="237" spans="1:15" ht="17.45" hidden="1" customHeight="1" x14ac:dyDescent="0.3">
      <c r="A237" s="340"/>
      <c r="B237" s="341"/>
      <c r="C237" s="341"/>
      <c r="D237" s="342" t="s">
        <v>103</v>
      </c>
      <c r="E237" s="139"/>
      <c r="F237" s="329"/>
      <c r="G237" s="273">
        <f t="shared" si="23"/>
        <v>0</v>
      </c>
      <c r="H237" s="330"/>
      <c r="I237" s="200"/>
      <c r="K237" s="271"/>
      <c r="L237" s="271">
        <f t="shared" si="24"/>
        <v>0</v>
      </c>
      <c r="M237" s="58"/>
      <c r="N237" s="58"/>
      <c r="O237" s="324"/>
    </row>
    <row r="238" spans="1:15" ht="17.45" hidden="1" customHeight="1" x14ac:dyDescent="0.3">
      <c r="A238" s="340"/>
      <c r="B238" s="341"/>
      <c r="C238" s="341"/>
      <c r="D238" s="342" t="s">
        <v>104</v>
      </c>
      <c r="E238" s="139"/>
      <c r="F238" s="329"/>
      <c r="G238" s="273">
        <f t="shared" si="23"/>
        <v>0</v>
      </c>
      <c r="H238" s="330"/>
      <c r="I238" s="200"/>
      <c r="K238" s="271"/>
      <c r="L238" s="271">
        <f t="shared" si="24"/>
        <v>0</v>
      </c>
      <c r="M238" s="58"/>
      <c r="N238" s="58"/>
      <c r="O238" s="324"/>
    </row>
    <row r="239" spans="1:15" ht="17.45" hidden="1" customHeight="1" x14ac:dyDescent="0.3">
      <c r="A239" s="340"/>
      <c r="B239" s="341"/>
      <c r="C239" s="341"/>
      <c r="D239" s="342" t="s">
        <v>105</v>
      </c>
      <c r="E239" s="139"/>
      <c r="F239" s="329"/>
      <c r="G239" s="273">
        <f t="shared" si="23"/>
        <v>0</v>
      </c>
      <c r="H239" s="330"/>
      <c r="I239" s="200"/>
      <c r="K239" s="271"/>
      <c r="L239" s="271">
        <f t="shared" si="24"/>
        <v>0</v>
      </c>
      <c r="M239" s="58"/>
      <c r="N239" s="58"/>
      <c r="O239" s="324"/>
    </row>
    <row r="240" spans="1:15" ht="17.45" hidden="1" customHeight="1" x14ac:dyDescent="0.3">
      <c r="A240" s="343" t="s">
        <v>106</v>
      </c>
      <c r="B240" s="341"/>
      <c r="C240" s="341"/>
      <c r="D240" s="344"/>
      <c r="E240" s="139"/>
      <c r="F240" s="329"/>
      <c r="G240" s="273">
        <f t="shared" si="23"/>
        <v>0</v>
      </c>
      <c r="H240" s="330"/>
      <c r="I240" s="200"/>
      <c r="K240" s="271"/>
      <c r="L240" s="271">
        <f t="shared" si="24"/>
        <v>0</v>
      </c>
      <c r="M240" s="58"/>
      <c r="N240" s="58"/>
      <c r="O240" s="324"/>
    </row>
    <row r="241" spans="1:15" ht="17.45" hidden="1" customHeight="1" x14ac:dyDescent="0.3">
      <c r="A241" s="345"/>
      <c r="B241" s="334" t="s">
        <v>107</v>
      </c>
      <c r="C241" s="335"/>
      <c r="D241" s="346" t="s">
        <v>108</v>
      </c>
      <c r="E241" s="139"/>
      <c r="F241" s="329"/>
      <c r="G241" s="273">
        <f t="shared" si="23"/>
        <v>0</v>
      </c>
      <c r="H241" s="330"/>
      <c r="I241" s="200"/>
      <c r="K241" s="271"/>
      <c r="L241" s="271">
        <f t="shared" si="24"/>
        <v>0</v>
      </c>
      <c r="M241" s="58"/>
      <c r="N241" s="58"/>
      <c r="O241" s="324"/>
    </row>
    <row r="242" spans="1:15" ht="20.25" hidden="1" customHeight="1" x14ac:dyDescent="0.3">
      <c r="A242" s="321" t="s">
        <v>109</v>
      </c>
      <c r="B242" s="139"/>
      <c r="C242" s="139"/>
      <c r="D242" s="347" t="s">
        <v>110</v>
      </c>
      <c r="E242" s="139"/>
      <c r="F242" s="329"/>
      <c r="G242" s="273">
        <f t="shared" si="23"/>
        <v>0</v>
      </c>
      <c r="H242" s="330"/>
      <c r="I242" s="200"/>
      <c r="K242" s="271"/>
      <c r="L242" s="271">
        <f t="shared" si="24"/>
        <v>0</v>
      </c>
      <c r="M242" s="58"/>
      <c r="N242" s="58"/>
      <c r="O242" s="324"/>
    </row>
    <row r="243" spans="1:15" ht="20.25" hidden="1" customHeight="1" x14ac:dyDescent="0.3">
      <c r="A243" s="348"/>
      <c r="B243" s="338"/>
      <c r="C243" s="338"/>
      <c r="D243" s="349" t="s">
        <v>111</v>
      </c>
      <c r="E243" s="139"/>
      <c r="F243" s="329"/>
      <c r="G243" s="273">
        <f t="shared" si="23"/>
        <v>0</v>
      </c>
      <c r="H243" s="330"/>
      <c r="I243" s="200"/>
      <c r="K243" s="271"/>
      <c r="L243" s="271">
        <f t="shared" si="24"/>
        <v>0</v>
      </c>
      <c r="M243" s="58"/>
      <c r="N243" s="58"/>
      <c r="O243" s="324"/>
    </row>
    <row r="244" spans="1:15" ht="36" hidden="1" customHeight="1" x14ac:dyDescent="0.3">
      <c r="A244" s="331" t="s">
        <v>112</v>
      </c>
      <c r="B244" s="332"/>
      <c r="C244" s="332"/>
      <c r="D244" s="332"/>
      <c r="E244" s="333"/>
      <c r="F244" s="329">
        <f>137.1*1.048</f>
        <v>143.6808</v>
      </c>
      <c r="G244" s="273">
        <f t="shared" si="23"/>
        <v>172.41695999999999</v>
      </c>
      <c r="H244" s="282"/>
      <c r="I244" s="200"/>
      <c r="K244" s="335"/>
      <c r="L244" s="350">
        <f t="shared" si="24"/>
        <v>0</v>
      </c>
      <c r="M244" s="58"/>
      <c r="N244" s="58"/>
      <c r="O244" s="324"/>
    </row>
    <row r="245" spans="1:15" ht="20.25" customHeight="1" x14ac:dyDescent="0.3">
      <c r="A245" s="331" t="s">
        <v>113</v>
      </c>
      <c r="B245" s="332"/>
      <c r="C245" s="332"/>
      <c r="D245" s="332"/>
      <c r="E245" s="333"/>
      <c r="F245" s="329">
        <f>210*1.3*1.05*1.1</f>
        <v>315.31500000000005</v>
      </c>
      <c r="G245" s="273">
        <f t="shared" si="23"/>
        <v>378.37800000000004</v>
      </c>
      <c r="H245" s="282"/>
      <c r="I245" s="200"/>
      <c r="K245" s="351"/>
      <c r="L245" s="271">
        <f t="shared" si="24"/>
        <v>0</v>
      </c>
      <c r="M245" s="58"/>
      <c r="N245" s="58"/>
      <c r="O245" s="324"/>
    </row>
    <row r="246" spans="1:15" ht="20.25" hidden="1" customHeight="1" x14ac:dyDescent="0.3">
      <c r="A246" s="331" t="s">
        <v>114</v>
      </c>
      <c r="B246" s="332"/>
      <c r="C246" s="332"/>
      <c r="D246" s="333"/>
      <c r="E246" s="352"/>
      <c r="F246" s="329"/>
      <c r="G246" s="273">
        <f t="shared" si="23"/>
        <v>0</v>
      </c>
      <c r="H246" s="282"/>
      <c r="I246" s="200"/>
      <c r="K246" s="351"/>
      <c r="L246" s="271">
        <f t="shared" si="24"/>
        <v>0</v>
      </c>
      <c r="M246" s="58"/>
      <c r="N246" s="58"/>
      <c r="O246" s="324"/>
    </row>
    <row r="247" spans="1:15" ht="20.25" hidden="1" customHeight="1" x14ac:dyDescent="0.3">
      <c r="A247" s="331" t="s">
        <v>115</v>
      </c>
      <c r="B247" s="332"/>
      <c r="C247" s="332"/>
      <c r="D247" s="332"/>
      <c r="E247" s="344"/>
      <c r="F247" s="329">
        <f>9.2*1.048</f>
        <v>9.6416000000000004</v>
      </c>
      <c r="G247" s="273">
        <f t="shared" si="23"/>
        <v>11.56992</v>
      </c>
      <c r="H247" s="282"/>
      <c r="I247" s="200"/>
      <c r="K247" s="351"/>
      <c r="L247" s="271">
        <f t="shared" si="24"/>
        <v>0</v>
      </c>
      <c r="M247" s="58"/>
      <c r="N247" s="58"/>
      <c r="O247" s="324"/>
    </row>
    <row r="248" spans="1:15" ht="20.25" hidden="1" customHeight="1" x14ac:dyDescent="0.3">
      <c r="A248" s="331" t="s">
        <v>116</v>
      </c>
      <c r="B248" s="332"/>
      <c r="C248" s="332"/>
      <c r="D248" s="332"/>
      <c r="E248" s="353"/>
      <c r="F248" s="329">
        <f>13.2*1.048</f>
        <v>13.833600000000001</v>
      </c>
      <c r="G248" s="273">
        <f t="shared" si="23"/>
        <v>16.60032</v>
      </c>
      <c r="H248" s="282"/>
      <c r="I248" s="200"/>
      <c r="K248" s="351"/>
      <c r="L248" s="271">
        <f t="shared" si="24"/>
        <v>0</v>
      </c>
      <c r="M248" s="58"/>
      <c r="N248" s="58"/>
      <c r="O248" s="324"/>
    </row>
    <row r="249" spans="1:15" ht="20.25" hidden="1" customHeight="1" x14ac:dyDescent="0.3">
      <c r="A249" s="331" t="s">
        <v>117</v>
      </c>
      <c r="B249" s="332"/>
      <c r="C249" s="332"/>
      <c r="D249" s="332"/>
      <c r="E249" s="353"/>
      <c r="F249" s="329">
        <f>7.8*1.048</f>
        <v>8.1744000000000003</v>
      </c>
      <c r="G249" s="273">
        <f t="shared" si="23"/>
        <v>9.8092799999999993</v>
      </c>
      <c r="H249" s="282"/>
      <c r="I249" s="200"/>
      <c r="K249" s="173"/>
      <c r="L249" s="271">
        <f t="shared" si="24"/>
        <v>0</v>
      </c>
      <c r="M249" s="58"/>
      <c r="N249" s="58"/>
      <c r="O249" s="324"/>
    </row>
    <row r="250" spans="1:15" ht="20.25" hidden="1" customHeight="1" x14ac:dyDescent="0.3">
      <c r="A250" s="331" t="s">
        <v>118</v>
      </c>
      <c r="B250" s="332"/>
      <c r="C250" s="332"/>
      <c r="D250" s="332"/>
      <c r="E250" s="353"/>
      <c r="F250" s="329">
        <f>12.9*1.048</f>
        <v>13.519200000000001</v>
      </c>
      <c r="G250" s="273">
        <f t="shared" si="23"/>
        <v>16.223040000000001</v>
      </c>
      <c r="H250" s="282"/>
      <c r="I250" s="200"/>
      <c r="K250" s="39"/>
      <c r="L250" s="354"/>
      <c r="M250" s="58"/>
      <c r="N250" s="58"/>
      <c r="O250" s="324"/>
    </row>
    <row r="251" spans="1:15" ht="31.5" hidden="1" customHeight="1" x14ac:dyDescent="0.3">
      <c r="A251" s="331" t="s">
        <v>119</v>
      </c>
      <c r="B251" s="332"/>
      <c r="C251" s="332"/>
      <c r="D251" s="332"/>
      <c r="E251" s="353"/>
      <c r="F251" s="329">
        <f>12.6*1.048</f>
        <v>13.204800000000001</v>
      </c>
      <c r="G251" s="273">
        <f t="shared" si="23"/>
        <v>15.84576</v>
      </c>
      <c r="H251" s="282"/>
      <c r="I251" s="200"/>
      <c r="L251" s="355">
        <f>ROUND(H251*1.05/10,0)*10</f>
        <v>0</v>
      </c>
      <c r="M251" s="129"/>
      <c r="N251" s="129"/>
      <c r="O251" s="324"/>
    </row>
    <row r="252" spans="1:15" ht="20.25" hidden="1" customHeight="1" x14ac:dyDescent="0.3">
      <c r="A252" s="331" t="s">
        <v>120</v>
      </c>
      <c r="B252" s="332"/>
      <c r="C252" s="332"/>
      <c r="D252" s="332"/>
      <c r="E252" s="353"/>
      <c r="F252" s="329">
        <f>9.7*1.048</f>
        <v>10.1656</v>
      </c>
      <c r="G252" s="273">
        <f t="shared" si="23"/>
        <v>12.19872</v>
      </c>
      <c r="H252" s="282"/>
      <c r="I252" s="200"/>
    </row>
    <row r="253" spans="1:15" ht="20.25" customHeight="1" x14ac:dyDescent="0.3">
      <c r="A253" s="331" t="s">
        <v>121</v>
      </c>
      <c r="B253" s="332"/>
      <c r="C253" s="332"/>
      <c r="D253" s="332"/>
      <c r="E253" s="333"/>
      <c r="F253" s="329">
        <f>ROUND(363.37*1.07,1)</f>
        <v>388.8</v>
      </c>
      <c r="G253" s="273">
        <f>F253*1.2</f>
        <v>466.56</v>
      </c>
      <c r="H253" s="282"/>
      <c r="I253" s="200"/>
    </row>
    <row r="254" spans="1:15" ht="20.25" customHeight="1" x14ac:dyDescent="0.3">
      <c r="A254" s="331" t="s">
        <v>122</v>
      </c>
      <c r="B254" s="332"/>
      <c r="C254" s="332"/>
      <c r="D254" s="332"/>
      <c r="E254" s="353"/>
      <c r="F254" s="329">
        <f>600*1.3*1.1</f>
        <v>858.00000000000011</v>
      </c>
      <c r="G254" s="273">
        <f t="shared" si="23"/>
        <v>1029.6000000000001</v>
      </c>
      <c r="H254" s="356"/>
      <c r="I254" s="200"/>
    </row>
    <row r="255" spans="1:15" ht="20.25" customHeight="1" x14ac:dyDescent="0.3">
      <c r="A255" s="331" t="s">
        <v>123</v>
      </c>
      <c r="B255" s="332"/>
      <c r="C255" s="332"/>
      <c r="D255" s="332"/>
      <c r="E255" s="353"/>
      <c r="F255" s="329">
        <f>F254/800</f>
        <v>1.0725000000000002</v>
      </c>
      <c r="G255" s="273">
        <f t="shared" si="23"/>
        <v>1.2870000000000001</v>
      </c>
      <c r="H255" s="357"/>
      <c r="I255" s="200"/>
    </row>
    <row r="256" spans="1:15" ht="20.25" customHeight="1" x14ac:dyDescent="0.3">
      <c r="A256" s="331" t="s">
        <v>124</v>
      </c>
      <c r="B256" s="332"/>
      <c r="C256" s="332"/>
      <c r="D256" s="332"/>
      <c r="E256" s="353"/>
      <c r="F256" s="329">
        <f>500*1.3*1.1</f>
        <v>715.00000000000011</v>
      </c>
      <c r="G256" s="273">
        <f t="shared" si="23"/>
        <v>858.00000000000011</v>
      </c>
      <c r="H256" s="357"/>
      <c r="I256" s="200"/>
    </row>
    <row r="257" spans="1:9" ht="20.25" customHeight="1" x14ac:dyDescent="0.3">
      <c r="A257" s="331" t="s">
        <v>123</v>
      </c>
      <c r="B257" s="332"/>
      <c r="C257" s="332"/>
      <c r="D257" s="332"/>
      <c r="E257" s="353"/>
      <c r="F257" s="329">
        <f>F256/800</f>
        <v>0.89375000000000016</v>
      </c>
      <c r="G257" s="273">
        <f t="shared" si="23"/>
        <v>1.0725000000000002</v>
      </c>
      <c r="H257" s="357"/>
      <c r="I257" s="200"/>
    </row>
    <row r="258" spans="1:9" ht="20.25" customHeight="1" x14ac:dyDescent="0.3">
      <c r="A258" s="331" t="s">
        <v>125</v>
      </c>
      <c r="B258" s="332"/>
      <c r="C258" s="332"/>
      <c r="D258" s="332"/>
      <c r="E258" s="353"/>
      <c r="F258" s="329">
        <f>400*1.3*1.1</f>
        <v>572</v>
      </c>
      <c r="G258" s="273">
        <f t="shared" si="23"/>
        <v>686.4</v>
      </c>
      <c r="H258" s="357"/>
      <c r="I258" s="200"/>
    </row>
    <row r="259" spans="1:9" ht="20.25" customHeight="1" x14ac:dyDescent="0.3">
      <c r="A259" s="331" t="s">
        <v>123</v>
      </c>
      <c r="B259" s="332"/>
      <c r="C259" s="332"/>
      <c r="D259" s="332"/>
      <c r="E259" s="353"/>
      <c r="F259" s="329">
        <f>F258/800</f>
        <v>0.71499999999999997</v>
      </c>
      <c r="G259" s="273">
        <f t="shared" si="23"/>
        <v>0.85799999999999998</v>
      </c>
      <c r="H259" s="357"/>
      <c r="I259" s="200"/>
    </row>
    <row r="260" spans="1:9" ht="20.25" customHeight="1" x14ac:dyDescent="0.3">
      <c r="A260" s="331" t="s">
        <v>126</v>
      </c>
      <c r="B260" s="332"/>
      <c r="C260" s="332"/>
      <c r="D260" s="332"/>
      <c r="E260" s="353"/>
      <c r="F260" s="329">
        <f>580*1.3*1.1</f>
        <v>829.40000000000009</v>
      </c>
      <c r="G260" s="273">
        <f t="shared" si="23"/>
        <v>995.28000000000009</v>
      </c>
      <c r="H260" s="358"/>
      <c r="I260" s="200"/>
    </row>
    <row r="261" spans="1:9" ht="20.25" customHeight="1" x14ac:dyDescent="0.3">
      <c r="A261" s="331" t="s">
        <v>123</v>
      </c>
      <c r="B261" s="332"/>
      <c r="C261" s="332"/>
      <c r="D261" s="332"/>
      <c r="E261" s="353"/>
      <c r="F261" s="329">
        <f>F260/600</f>
        <v>1.3823333333333334</v>
      </c>
      <c r="G261" s="273">
        <f t="shared" si="23"/>
        <v>1.6588000000000001</v>
      </c>
      <c r="H261" s="358"/>
      <c r="I261" s="200"/>
    </row>
    <row r="262" spans="1:9" ht="20.25" customHeight="1" x14ac:dyDescent="0.3">
      <c r="A262" s="331" t="s">
        <v>127</v>
      </c>
      <c r="B262" s="332"/>
      <c r="C262" s="332"/>
      <c r="D262" s="332"/>
      <c r="E262" s="353"/>
      <c r="F262" s="329">
        <f>500*1.3*1.1</f>
        <v>715.00000000000011</v>
      </c>
      <c r="G262" s="273">
        <f t="shared" si="23"/>
        <v>858.00000000000011</v>
      </c>
      <c r="H262" s="200"/>
      <c r="I262" s="200"/>
    </row>
    <row r="263" spans="1:9" ht="20.25" customHeight="1" x14ac:dyDescent="0.3">
      <c r="A263" s="331" t="s">
        <v>123</v>
      </c>
      <c r="B263" s="332"/>
      <c r="C263" s="332"/>
      <c r="D263" s="332"/>
      <c r="E263" s="353"/>
      <c r="F263" s="329">
        <f>F262/600</f>
        <v>1.1916666666666669</v>
      </c>
      <c r="G263" s="273">
        <f t="shared" si="23"/>
        <v>1.4300000000000002</v>
      </c>
      <c r="H263" s="358"/>
      <c r="I263" s="200"/>
    </row>
    <row r="264" spans="1:9" ht="20.25" customHeight="1" x14ac:dyDescent="0.3">
      <c r="A264" s="331" t="s">
        <v>128</v>
      </c>
      <c r="B264" s="332"/>
      <c r="C264" s="332"/>
      <c r="D264" s="332"/>
      <c r="E264" s="353"/>
      <c r="F264" s="329">
        <f>450*1.3*1.1</f>
        <v>643.5</v>
      </c>
      <c r="G264" s="273">
        <f t="shared" si="23"/>
        <v>772.19999999999993</v>
      </c>
      <c r="H264" s="358"/>
      <c r="I264" s="200"/>
    </row>
    <row r="265" spans="1:9" ht="20.25" customHeight="1" x14ac:dyDescent="0.3">
      <c r="A265" s="331" t="s">
        <v>123</v>
      </c>
      <c r="B265" s="332"/>
      <c r="C265" s="332"/>
      <c r="D265" s="332"/>
      <c r="E265" s="353"/>
      <c r="F265" s="329">
        <f>F264/600</f>
        <v>1.0725</v>
      </c>
      <c r="G265" s="273">
        <f t="shared" si="23"/>
        <v>1.2869999999999999</v>
      </c>
      <c r="H265" s="358"/>
      <c r="I265" s="200"/>
    </row>
    <row r="266" spans="1:9" ht="20.25" x14ac:dyDescent="0.3">
      <c r="D266" s="2"/>
      <c r="G266" s="2"/>
    </row>
    <row r="267" spans="1:9" ht="20.25" x14ac:dyDescent="0.3">
      <c r="B267" s="359" t="s">
        <v>129</v>
      </c>
      <c r="F267" s="247" t="s">
        <v>130</v>
      </c>
    </row>
  </sheetData>
  <mergeCells count="160">
    <mergeCell ref="A261:D261"/>
    <mergeCell ref="A262:D262"/>
    <mergeCell ref="A263:D263"/>
    <mergeCell ref="A264:D264"/>
    <mergeCell ref="A265:D265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E253"/>
    <mergeCell ref="A254:D254"/>
    <mergeCell ref="A236:D236"/>
    <mergeCell ref="A244:E244"/>
    <mergeCell ref="A245:E245"/>
    <mergeCell ref="A246:D246"/>
    <mergeCell ref="A247:D247"/>
    <mergeCell ref="A248:D248"/>
    <mergeCell ref="I214:I215"/>
    <mergeCell ref="D216:E216"/>
    <mergeCell ref="A228:E228"/>
    <mergeCell ref="A229:E229"/>
    <mergeCell ref="A230:E230"/>
    <mergeCell ref="A234:D234"/>
    <mergeCell ref="A212:C213"/>
    <mergeCell ref="D212:E212"/>
    <mergeCell ref="D213:E213"/>
    <mergeCell ref="D214:E215"/>
    <mergeCell ref="G214:G215"/>
    <mergeCell ref="H214:H215"/>
    <mergeCell ref="I207:I208"/>
    <mergeCell ref="A208:C208"/>
    <mergeCell ref="D209:E209"/>
    <mergeCell ref="A210:C211"/>
    <mergeCell ref="D210:E210"/>
    <mergeCell ref="D211:E211"/>
    <mergeCell ref="D204:E204"/>
    <mergeCell ref="A205:C205"/>
    <mergeCell ref="D205:E205"/>
    <mergeCell ref="D206:E206"/>
    <mergeCell ref="D207:E208"/>
    <mergeCell ref="H207:H208"/>
    <mergeCell ref="A198:E198"/>
    <mergeCell ref="A199:E199"/>
    <mergeCell ref="A200:E200"/>
    <mergeCell ref="A201:E201"/>
    <mergeCell ref="A202:E202"/>
    <mergeCell ref="A203:C203"/>
    <mergeCell ref="D203:E203"/>
    <mergeCell ref="I183:M183"/>
    <mergeCell ref="A193:F193"/>
    <mergeCell ref="A194:E194"/>
    <mergeCell ref="A195:E195"/>
    <mergeCell ref="A196:E196"/>
    <mergeCell ref="A197:E197"/>
    <mergeCell ref="H172:O172"/>
    <mergeCell ref="D173:E173"/>
    <mergeCell ref="F173:G173"/>
    <mergeCell ref="H173:O173"/>
    <mergeCell ref="H174:I174"/>
    <mergeCell ref="J174:O174"/>
    <mergeCell ref="A171:G171"/>
    <mergeCell ref="A172:A174"/>
    <mergeCell ref="B172:B174"/>
    <mergeCell ref="C172:C174"/>
    <mergeCell ref="D172:E172"/>
    <mergeCell ref="F172:G172"/>
    <mergeCell ref="L150:L152"/>
    <mergeCell ref="M150:N150"/>
    <mergeCell ref="O150:P150"/>
    <mergeCell ref="D151:E151"/>
    <mergeCell ref="F151:G151"/>
    <mergeCell ref="M151:N151"/>
    <mergeCell ref="O151:P151"/>
    <mergeCell ref="A147:G147"/>
    <mergeCell ref="A149:G149"/>
    <mergeCell ref="J149:P149"/>
    <mergeCell ref="A150:A152"/>
    <mergeCell ref="B150:B152"/>
    <mergeCell ref="C150:C152"/>
    <mergeCell ref="D150:E150"/>
    <mergeCell ref="F150:G150"/>
    <mergeCell ref="J150:J152"/>
    <mergeCell ref="K150:K152"/>
    <mergeCell ref="H102:I102"/>
    <mergeCell ref="J102:O102"/>
    <mergeCell ref="A124:L124"/>
    <mergeCell ref="A125:A126"/>
    <mergeCell ref="B125:B126"/>
    <mergeCell ref="C125:C126"/>
    <mergeCell ref="D125:E125"/>
    <mergeCell ref="F125:G125"/>
    <mergeCell ref="H126:I126"/>
    <mergeCell ref="J126:O126"/>
    <mergeCell ref="A98:G98"/>
    <mergeCell ref="A99:L99"/>
    <mergeCell ref="A100:L100"/>
    <mergeCell ref="A101:A102"/>
    <mergeCell ref="B101:B102"/>
    <mergeCell ref="C101:C102"/>
    <mergeCell ref="D101:E101"/>
    <mergeCell ref="F101:G101"/>
    <mergeCell ref="H101:K101"/>
    <mergeCell ref="L101:O101"/>
    <mergeCell ref="A75:G75"/>
    <mergeCell ref="A77:G77"/>
    <mergeCell ref="A78:A79"/>
    <mergeCell ref="B78:B79"/>
    <mergeCell ref="C78:C79"/>
    <mergeCell ref="D78:E78"/>
    <mergeCell ref="F78:G78"/>
    <mergeCell ref="A47:G47"/>
    <mergeCell ref="A48:L48"/>
    <mergeCell ref="A49:A50"/>
    <mergeCell ref="B49:B50"/>
    <mergeCell ref="C49:C50"/>
    <mergeCell ref="D49:E49"/>
    <mergeCell ref="F49:G49"/>
    <mergeCell ref="H49:O49"/>
    <mergeCell ref="H50:I50"/>
    <mergeCell ref="J50:O50"/>
    <mergeCell ref="V22:W22"/>
    <mergeCell ref="V23:W23"/>
    <mergeCell ref="V24:W24"/>
    <mergeCell ref="V25:W25"/>
    <mergeCell ref="V26:W26"/>
    <mergeCell ref="V27:W27"/>
    <mergeCell ref="V16:W16"/>
    <mergeCell ref="V17:W17"/>
    <mergeCell ref="V18:W18"/>
    <mergeCell ref="V19:W19"/>
    <mergeCell ref="V20:W20"/>
    <mergeCell ref="V21:W21"/>
    <mergeCell ref="A13:O13"/>
    <mergeCell ref="V13:Y13"/>
    <mergeCell ref="A14:A15"/>
    <mergeCell ref="B14:B15"/>
    <mergeCell ref="C14:C15"/>
    <mergeCell ref="D14:E14"/>
    <mergeCell ref="F14:G14"/>
    <mergeCell ref="L14:O14"/>
    <mergeCell ref="H15:I15"/>
    <mergeCell ref="J15:O15"/>
    <mergeCell ref="A9:G9"/>
    <mergeCell ref="R9:AB9"/>
    <mergeCell ref="A10:G10"/>
    <mergeCell ref="A11:G11"/>
    <mergeCell ref="A12:G12"/>
    <mergeCell ref="R12:AB12"/>
    <mergeCell ref="E2:F2"/>
    <mergeCell ref="A6:G6"/>
    <mergeCell ref="A7:G7"/>
    <mergeCell ref="R7:AB7"/>
    <mergeCell ref="A8:G8"/>
    <mergeCell ref="R8:AB8"/>
  </mergeCells>
  <printOptions horizontalCentered="1"/>
  <pageMargins left="0.78740157480314965" right="0.19685039370078741" top="0.31496062992125984" bottom="0" header="0.23622047244094491" footer="0"/>
  <pageSetup paperSize="9" scale="55" orientation="portrait" horizontalDpi="1200" verticalDpi="1200" r:id="rId1"/>
  <headerFooter alignWithMargins="0">
    <oddFooter>Страница &amp;P</oddFooter>
  </headerFooter>
  <rowBreaks count="4" manualBreakCount="4">
    <brk id="46" max="16383" man="1"/>
    <brk id="97" max="16383" man="1"/>
    <brk id="146" max="16383" man="1"/>
    <brk id="192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Прейск.на прод.д-о нас.120126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2026-01-09T13:44:16Z</dcterms:modified>
</cp:coreProperties>
</file>